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65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D76" i="1" l="1"/>
  <c r="Z71" i="1"/>
  <c r="Z12" i="1" s="1"/>
  <c r="AC67" i="1"/>
  <c r="Z66" i="1"/>
  <c r="Z68" i="1" s="1"/>
  <c r="Z13" i="1" s="1"/>
  <c r="AC13" i="1" s="1"/>
  <c r="AE17" i="1" s="1"/>
  <c r="AE18" i="1" s="1"/>
  <c r="Z54" i="1"/>
  <c r="Z55" i="1" s="1"/>
  <c r="Z51" i="1"/>
  <c r="Z49" i="1"/>
  <c r="Z48" i="1"/>
  <c r="Z52" i="1" s="1"/>
  <c r="Z46" i="1"/>
  <c r="AC45" i="1"/>
  <c r="Z45" i="1"/>
  <c r="Z41" i="1"/>
  <c r="AG41" i="1" s="1"/>
  <c r="Z36" i="1"/>
  <c r="Z47" i="1" s="1"/>
  <c r="E33" i="1"/>
  <c r="Z32" i="1"/>
  <c r="Z30" i="1"/>
  <c r="Z29" i="1"/>
  <c r="Z27" i="1"/>
  <c r="Z24" i="1"/>
  <c r="Z23" i="1"/>
  <c r="AB17" i="1"/>
  <c r="AB13" i="1"/>
  <c r="AB11" i="1"/>
  <c r="Z8" i="1"/>
  <c r="Z33" i="1" l="1"/>
  <c r="Z57" i="1" s="1"/>
  <c r="AD67" i="1"/>
  <c r="Z73" i="1" l="1"/>
  <c r="AC61" i="1"/>
  <c r="Z11" i="1"/>
  <c r="AD72" i="1"/>
  <c r="AE72" i="1" s="1"/>
  <c r="Z17" i="1" l="1"/>
  <c r="AC11" i="1"/>
  <c r="AB23" i="1" s="1"/>
  <c r="AC10" i="1" l="1"/>
  <c r="AC17" i="1"/>
</calcChain>
</file>

<file path=xl/sharedStrings.xml><?xml version="1.0" encoding="utf-8"?>
<sst xmlns="http://schemas.openxmlformats.org/spreadsheetml/2006/main" count="185" uniqueCount="86">
  <si>
    <t xml:space="preserve">             MANIZALES SEGURA S.A.</t>
  </si>
  <si>
    <t>PROYECTO DE PRESUPUESTO PARA LA VIGENCIA 2014</t>
  </si>
  <si>
    <t>INGRESOS VIGENCIA 2014</t>
  </si>
  <si>
    <t>APROBADO</t>
  </si>
  <si>
    <t>%</t>
  </si>
  <si>
    <t>PRESUPUESTO 2013</t>
  </si>
  <si>
    <t>% participacion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</si>
  <si>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</si>
  <si>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</si>
  <si>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</si>
  <si>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</si>
  <si>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</si>
  <si>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</si>
  <si>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</si>
  <si>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</si>
  <si>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</si>
  <si>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</si>
  <si>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</si>
  <si>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</si>
  <si>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EJECUCION A JUNIO 30 DE 2013</t>
  </si>
  <si>
    <t xml:space="preserve">% ejecucion </t>
  </si>
  <si>
    <t>TOTAL (PROYECTADO) A DICIEMBRE 31 DE 2013</t>
  </si>
  <si>
    <t>PRESUPUESTO PARA APROBACIÓN</t>
  </si>
  <si>
    <t>PROYECTO DE PRESUPUESTO 2014</t>
  </si>
  <si>
    <t>DISPONIBILIDAD INICIAL</t>
  </si>
  <si>
    <t>RECURSOS CORRIENTES</t>
  </si>
  <si>
    <t>TOTAL INGRESOS</t>
  </si>
  <si>
    <t>GASTOS CONSOLIDADOS VIGENCIA 2014</t>
  </si>
  <si>
    <t>PRESUPUESTO 2014</t>
  </si>
  <si>
    <t>GASTOS DE INVERSION</t>
  </si>
  <si>
    <t>CUENTAS POR PAGAR</t>
  </si>
  <si>
    <t>GASTOS DE FUNCIONAMIENTO</t>
  </si>
  <si>
    <t xml:space="preserve">   GASTOS DE PERSONAL</t>
  </si>
  <si>
    <t xml:space="preserve">   GASTOS GENERALES</t>
  </si>
  <si>
    <t>TOTAL GASTOS</t>
  </si>
  <si>
    <t xml:space="preserve">DESCRIPCION </t>
  </si>
  <si>
    <t>CONCEPTO</t>
  </si>
  <si>
    <t>PARTIDAS A LIBERAR</t>
  </si>
  <si>
    <t>PROGRAMA 4 : SEGURIDAD Y CONVIVENCIA CIUDADANA.</t>
  </si>
  <si>
    <t>SUBPROGRAMA: Fortalecimiento de la institucionalidad para la seguridad y la justicia</t>
  </si>
  <si>
    <t>2 y 4.-  Implementación, operación, mantenimiento y ampliación del programa de televigilancia en el Municipio, sistemas de telecomunicaciones y radiocomunicaciones entre entidades de socorro y seguridad ciudadana.</t>
  </si>
  <si>
    <t xml:space="preserve">Fase tres: Para la ampliación tecnologica de CCTV (Circuito Cerrado de Televisión) ciudad de Manizales, 50 a 60 cámaras más. </t>
  </si>
  <si>
    <t xml:space="preserve"> </t>
  </si>
  <si>
    <t xml:space="preserve">Mantenimiento CCTV - Consumo Energia </t>
  </si>
  <si>
    <t xml:space="preserve">Contrataciòn Carro Canasta - desmonte CCTV </t>
  </si>
  <si>
    <t>Reposición Computadores Sala SIES</t>
  </si>
  <si>
    <t>Sostenimiento plataforma de comunicaciones del SIES de la policia (Sistema Integrado de Emergencias y Seguridad) utilizada para el funcionamiento de la línea 123, del sistema Alarmas y del CCTV.</t>
  </si>
  <si>
    <t>Cofinanciación "Proyecto Fortalecimiento Plan Nacional de Vigilancia por Cuadrantes PNVCC"  de la ciudad de Manizales- Fortalecimiento SIES: Componente Tecnológico.</t>
  </si>
  <si>
    <t>Mantenimiento del SIES de la Policia Nacional (sistema Integrado de Emergencia y Seguridad) todo lo relacionado con hardware, software y Equipos.</t>
  </si>
  <si>
    <t xml:space="preserve">Sostenimiento de comunicación AVANTEL entregados a la Policia Nacional, Fiscalia, CTI, Ejercito y Organismos del Socorro del Municipio. </t>
  </si>
  <si>
    <t>Impuestos de las comunicaciones del SIES de la policia</t>
  </si>
  <si>
    <t xml:space="preserve">Personal de operaciones </t>
  </si>
  <si>
    <t>Subtotal: SIES, CCTV Y comunicaciones</t>
  </si>
  <si>
    <t>3 - Implementación,  operación y mantenimiento y reposición de bienes y equipos destinados a la seguridad</t>
  </si>
  <si>
    <t>Mantenimiento preventivo parque automotor de la policía: 80 motocicletas y 10 vehículos</t>
  </si>
  <si>
    <t>Mantenimiento preventivo y correctivo CAI Movil CORREDORES POLICIALES, Policia Nacional.</t>
  </si>
  <si>
    <r>
      <rPr>
        <b/>
        <sz val="11"/>
        <rFont val="Arial"/>
        <family val="2"/>
      </rPr>
      <t>Seguro obligatorio</t>
    </r>
    <r>
      <rPr>
        <b/>
        <sz val="10"/>
        <rFont val="Arial"/>
        <family val="2"/>
      </rPr>
      <t xml:space="preserve"> y seguro todo riesgo, </t>
    </r>
    <r>
      <rPr>
        <b/>
        <sz val="11"/>
        <rFont val="Arial"/>
        <family val="2"/>
      </rPr>
      <t>impuestos</t>
    </r>
    <r>
      <rPr>
        <b/>
        <sz val="10"/>
        <rFont val="Arial"/>
        <family val="2"/>
      </rPr>
      <t xml:space="preserve"> y</t>
    </r>
    <r>
      <rPr>
        <b/>
        <sz val="11"/>
        <rFont val="Arial"/>
        <family val="2"/>
      </rPr>
      <t xml:space="preserve"> revision tecnico mecanica</t>
    </r>
    <r>
      <rPr>
        <b/>
        <sz val="10"/>
        <rFont val="Arial"/>
        <family val="2"/>
      </rPr>
      <t xml:space="preserve">  Parque Automotor de la Policia: 80 Motocicletas y 10 vehículos </t>
    </r>
  </si>
  <si>
    <t>Adquisición de 6 Patrullas tipo panel para los CAI del municipio y adquisición de 2 vehículos para los organismos de inteligencia.  Incluye sostenimiento de impuestos, SOAT, mantenimientos y seguros de vehículos.</t>
  </si>
  <si>
    <t>Adquisición 10 motocicletas Alta Cilindrada para la Policía , dotadas de cascos, chalecos y accesorios.</t>
  </si>
  <si>
    <t>Dotación Parque Policia Nacional , comprende crecimiento pie de fuerza plan nacional vigilancia por cuadrantes, mejoramiento P.A. zona rural (Adquisicion 20 motocicletas cilindrada 650 zona urbana y 10 motocicletas 250 zona rural, dotadas de cascos,chalecos, accesorios-Policia Nacional ) y atencion otras solicitudes.</t>
  </si>
  <si>
    <t>Cofinanciación del 20% "Proyecto Fortalecimiento Plan Nacional de Vigilancia por Cuadrantes PNVCC"  de la ciudad de Manizales: Compra 20 Motocicletas 650, 10 vehículos, radios de comunicación y otros.</t>
  </si>
  <si>
    <t>Apoyo Dotación Policía de Tránsito:  Unidad Móvil de criminalística y Estación Total</t>
  </si>
  <si>
    <t>Combustible Organismos de Seguridad - Policia Nacional</t>
  </si>
  <si>
    <t xml:space="preserve">Dotaciòn de Equipos de Comunicaciòn para  entidades de seguridad e  inteligencia </t>
  </si>
  <si>
    <t xml:space="preserve">Adquisición de 150 Vallas de Seguridad para la Policía Nacional </t>
  </si>
  <si>
    <t xml:space="preserve">Dotación Centros de Atención Inmediata -CAI- </t>
  </si>
  <si>
    <t xml:space="preserve">Subtotal: Bienes y Equipos </t>
  </si>
  <si>
    <t>6. Establecimiento y mantenimiento del servicio de telealarmas y televigilancia anti intrusión</t>
  </si>
  <si>
    <t>Compra de 20 nuevas Alarmas y repuestos para Programa de  Alarmas Comunitarias de Municipio (incluye actualización de software y equipos)</t>
  </si>
  <si>
    <t>Mantenimiento preventivo y correctivo Programa de alarmas comunitarias</t>
  </si>
  <si>
    <t>Fase 1 Alarmas para la Red de Apoyo del Municipio - Botón de Pánico Taxistas.</t>
  </si>
  <si>
    <t>Subtotal: Alarmas</t>
  </si>
  <si>
    <t>7. Financiación de la infraestrucutra que propenda por la integridad,  seguridad y vigilancia de la comunidad y sus bienes</t>
  </si>
  <si>
    <t>Mantenimiento Infraestructura, Estaciones de Policía y CAI de la Ciudad</t>
  </si>
  <si>
    <t>TOTAL: Infraestructura</t>
  </si>
  <si>
    <t>TOTAL: INVERSIONES</t>
  </si>
  <si>
    <t>Gastos de Funcionamiento</t>
  </si>
  <si>
    <t>Gastos generales de Funcionamiento ( Ver Anexo)</t>
  </si>
  <si>
    <t>PROYECTO PLAN DE ACCION PARA LA VIGENCIA 2014</t>
  </si>
  <si>
    <t xml:space="preserve">9. Aportes a la Sociedad </t>
  </si>
  <si>
    <t>Gastos generales de Funcionamiento</t>
  </si>
  <si>
    <t xml:space="preserve">Aportes para adquisición de acciones </t>
  </si>
  <si>
    <t xml:space="preserve">TOTAL: GASTOS DE FUNCIONAMIENTO </t>
  </si>
  <si>
    <t>7. Cuentas por Pagar</t>
  </si>
  <si>
    <t>Cuentas por Pagar (año anterior)</t>
  </si>
  <si>
    <t>TOTAL: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</si>
</sst>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[$-F800]dddd\,\ mmmm\ dd\,\ yyyy"/>
    <numFmt numFmtId="166" formatCode="_ * #,##0_ ;_ * \-#,##0_ ;_ * &quot;-&quot;??_ ;_ @_ "/>
    <numFmt numFmtId="167" formatCode="_(* #,##0_);_(* \(#,##0\);_(* &quot;-&quot;??_);_(@_)"/>
    <numFmt numFmtId="168" formatCode="#,##0\ _€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394">
    <xf numFmtId="0" fontId="0" fillId="0" borderId="0" xfId="0"/>
    <xf numFmtId="0" fontId="4" fillId="0" borderId="0" xfId="3" applyFont="1"/>
    <xf numFmtId="0" fontId="2" fillId="0" borderId="0" xfId="3"/>
    <xf numFmtId="166" fontId="0" fillId="0" borderId="0" xfId="1" applyNumberFormat="1" applyFont="1"/>
    <xf numFmtId="0" fontId="0" fillId="0" borderId="2" xfId="0" applyBorder="1"/>
    <xf numFmtId="166" fontId="0" fillId="0" borderId="3" xfId="1" applyNumberFormat="1" applyFont="1" applyBorder="1"/>
    <xf numFmtId="0" fontId="0" fillId="0" borderId="5" xfId="0" applyBorder="1"/>
    <xf numFmtId="166" fontId="0" fillId="0" borderId="6" xfId="1" applyNumberFormat="1" applyFont="1" applyBorder="1"/>
    <xf numFmtId="3" fontId="7" fillId="2" borderId="7" xfId="3" applyNumberFormat="1" applyFont="1" applyFill="1" applyBorder="1" applyAlignment="1">
      <alignment horizontal="center" wrapText="1"/>
    </xf>
    <xf numFmtId="3" fontId="9" fillId="2" borderId="9" xfId="3" applyNumberFormat="1" applyFont="1" applyFill="1" applyBorder="1" applyAlignment="1">
      <alignment horizontal="center" wrapText="1"/>
    </xf>
    <xf numFmtId="3" fontId="7" fillId="2" borderId="10" xfId="3" applyNumberFormat="1" applyFont="1" applyFill="1" applyBorder="1" applyAlignment="1">
      <alignment horizontal="center" wrapText="1"/>
    </xf>
    <xf numFmtId="3" fontId="7" fillId="2" borderId="11" xfId="3" applyNumberFormat="1" applyFont="1" applyFill="1" applyBorder="1" applyAlignment="1">
      <alignment horizontal="center" wrapText="1"/>
    </xf>
    <xf numFmtId="3" fontId="7" fillId="2" borderId="9" xfId="3" applyNumberFormat="1" applyFont="1" applyFill="1" applyBorder="1" applyAlignment="1">
      <alignment horizontal="center" wrapText="1"/>
    </xf>
    <xf numFmtId="0" fontId="2" fillId="3" borderId="0" xfId="3" applyFill="1" applyBorder="1"/>
    <xf numFmtId="3" fontId="7" fillId="2" borderId="12" xfId="3" applyNumberFormat="1" applyFont="1" applyFill="1" applyBorder="1" applyAlignment="1">
      <alignment horizontal="center" wrapText="1"/>
    </xf>
    <xf numFmtId="3" fontId="7" fillId="2" borderId="13" xfId="3" applyNumberFormat="1" applyFont="1" applyFill="1" applyBorder="1" applyAlignment="1">
      <alignment horizontal="center" wrapText="1"/>
    </xf>
    <xf numFmtId="3" fontId="7" fillId="2" borderId="14" xfId="3" applyNumberFormat="1" applyFont="1" applyFill="1" applyBorder="1" applyAlignment="1">
      <alignment horizontal="center" wrapText="1"/>
    </xf>
    <xf numFmtId="3" fontId="7" fillId="2" borderId="6" xfId="3" applyNumberFormat="1" applyFont="1" applyFill="1" applyBorder="1" applyAlignment="1">
      <alignment horizontal="center" wrapText="1"/>
    </xf>
    <xf numFmtId="3" fontId="7" fillId="2" borderId="4" xfId="3" applyNumberFormat="1" applyFont="1" applyFill="1" applyBorder="1" applyAlignment="1">
      <alignment horizontal="center" wrapText="1"/>
    </xf>
    <xf numFmtId="0" fontId="5" fillId="0" borderId="0" xfId="3" applyFont="1"/>
    <xf numFmtId="0" fontId="6" fillId="0" borderId="15" xfId="3" applyFont="1" applyBorder="1"/>
    <xf numFmtId="3" fontId="5" fillId="0" borderId="10" xfId="3" applyNumberFormat="1" applyFont="1" applyBorder="1"/>
    <xf numFmtId="9" fontId="7" fillId="0" borderId="7" xfId="4" applyFont="1" applyBorder="1"/>
    <xf numFmtId="3" fontId="7" fillId="0" borderId="15" xfId="3" applyNumberFormat="1" applyFont="1" applyBorder="1"/>
    <xf numFmtId="9" fontId="10" fillId="0" borderId="16" xfId="4" applyFont="1" applyBorder="1"/>
    <xf numFmtId="167" fontId="7" fillId="0" borderId="16" xfId="3" applyNumberFormat="1" applyFont="1" applyBorder="1"/>
    <xf numFmtId="167" fontId="7" fillId="0" borderId="17" xfId="3" applyNumberFormat="1" applyFont="1" applyBorder="1"/>
    <xf numFmtId="167" fontId="7" fillId="0" borderId="15" xfId="3" applyNumberFormat="1" applyFont="1" applyBorder="1"/>
    <xf numFmtId="167" fontId="7" fillId="0" borderId="11" xfId="3" applyNumberFormat="1" applyFont="1" applyBorder="1"/>
    <xf numFmtId="9" fontId="10" fillId="0" borderId="15" xfId="4" applyNumberFormat="1" applyFont="1" applyBorder="1"/>
    <xf numFmtId="0" fontId="7" fillId="0" borderId="0" xfId="3" applyFont="1" applyBorder="1"/>
    <xf numFmtId="167" fontId="7" fillId="0" borderId="7" xfId="3" applyNumberFormat="1" applyFont="1" applyBorder="1"/>
    <xf numFmtId="166" fontId="7" fillId="0" borderId="15" xfId="1" applyNumberFormat="1" applyFont="1" applyBorder="1"/>
    <xf numFmtId="0" fontId="6" fillId="0" borderId="18" xfId="3" applyFont="1" applyBorder="1"/>
    <xf numFmtId="3" fontId="5" fillId="0" borderId="19" xfId="3" applyNumberFormat="1" applyFont="1" applyBorder="1"/>
    <xf numFmtId="3" fontId="7" fillId="0" borderId="18" xfId="3" applyNumberFormat="1" applyFont="1" applyBorder="1"/>
    <xf numFmtId="9" fontId="10" fillId="0" borderId="8" xfId="4" applyFont="1" applyBorder="1"/>
    <xf numFmtId="3" fontId="7" fillId="0" borderId="20" xfId="3" applyNumberFormat="1" applyFont="1" applyBorder="1"/>
    <xf numFmtId="0" fontId="7" fillId="0" borderId="21" xfId="3" applyFont="1" applyBorder="1"/>
    <xf numFmtId="3" fontId="7" fillId="0" borderId="21" xfId="3" applyNumberFormat="1" applyFont="1" applyBorder="1"/>
    <xf numFmtId="3" fontId="7" fillId="0" borderId="0" xfId="3" applyNumberFormat="1" applyFont="1" applyBorder="1"/>
    <xf numFmtId="3" fontId="7" fillId="0" borderId="7" xfId="3" applyNumberFormat="1" applyFont="1" applyBorder="1"/>
    <xf numFmtId="167" fontId="7" fillId="0" borderId="9" xfId="3" applyNumberFormat="1" applyFont="1" applyBorder="1"/>
    <xf numFmtId="9" fontId="10" fillId="0" borderId="18" xfId="4" applyNumberFormat="1" applyFont="1" applyBorder="1"/>
    <xf numFmtId="166" fontId="7" fillId="0" borderId="18" xfId="1" applyNumberFormat="1" applyFont="1" applyBorder="1"/>
    <xf numFmtId="0" fontId="5" fillId="2" borderId="22" xfId="3" applyFont="1" applyFill="1" applyBorder="1"/>
    <xf numFmtId="3" fontId="5" fillId="2" borderId="23" xfId="3" applyNumberFormat="1" applyFont="1" applyFill="1" applyBorder="1"/>
    <xf numFmtId="9" fontId="5" fillId="2" borderId="22" xfId="4" applyFont="1" applyFill="1" applyBorder="1"/>
    <xf numFmtId="3" fontId="5" fillId="2" borderId="22" xfId="3" applyNumberFormat="1" applyFont="1" applyFill="1" applyBorder="1"/>
    <xf numFmtId="166" fontId="5" fillId="2" borderId="24" xfId="2" applyNumberFormat="1" applyFont="1" applyFill="1" applyBorder="1"/>
    <xf numFmtId="166" fontId="5" fillId="2" borderId="25" xfId="2" applyNumberFormat="1" applyFont="1" applyFill="1" applyBorder="1"/>
    <xf numFmtId="166" fontId="5" fillId="2" borderId="22" xfId="2" applyNumberFormat="1" applyFont="1" applyFill="1" applyBorder="1"/>
    <xf numFmtId="166" fontId="5" fillId="2" borderId="26" xfId="2" applyNumberFormat="1" applyFont="1" applyFill="1" applyBorder="1"/>
    <xf numFmtId="9" fontId="5" fillId="4" borderId="22" xfId="4" applyNumberFormat="1" applyFont="1" applyFill="1" applyBorder="1"/>
    <xf numFmtId="0" fontId="5" fillId="3" borderId="17" xfId="3" applyFont="1" applyFill="1" applyBorder="1"/>
    <xf numFmtId="167" fontId="5" fillId="3" borderId="27" xfId="2" applyNumberFormat="1" applyFont="1" applyFill="1" applyBorder="1"/>
    <xf numFmtId="0" fontId="11" fillId="0" borderId="0" xfId="0" applyFont="1"/>
    <xf numFmtId="166" fontId="5" fillId="2" borderId="28" xfId="1" applyNumberFormat="1" applyFont="1" applyFill="1" applyBorder="1"/>
    <xf numFmtId="0" fontId="5" fillId="0" borderId="9" xfId="3" applyFont="1" applyBorder="1"/>
    <xf numFmtId="0" fontId="5" fillId="0" borderId="0" xfId="3" applyFont="1" applyBorder="1"/>
    <xf numFmtId="0" fontId="8" fillId="0" borderId="0" xfId="3" applyFont="1" applyBorder="1"/>
    <xf numFmtId="0" fontId="10" fillId="0" borderId="0" xfId="3" applyFont="1" applyBorder="1"/>
    <xf numFmtId="9" fontId="10" fillId="0" borderId="0" xfId="3" applyNumberFormat="1" applyFont="1" applyBorder="1"/>
    <xf numFmtId="0" fontId="7" fillId="0" borderId="7" xfId="3" applyFont="1" applyBorder="1"/>
    <xf numFmtId="166" fontId="8" fillId="0" borderId="0" xfId="1" applyNumberFormat="1" applyFont="1" applyBorder="1"/>
    <xf numFmtId="3" fontId="6" fillId="2" borderId="28" xfId="3" applyNumberFormat="1" applyFont="1" applyFill="1" applyBorder="1" applyAlignment="1">
      <alignment horizontal="center" wrapText="1"/>
    </xf>
    <xf numFmtId="3" fontId="6" fillId="2" borderId="2" xfId="3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 wrapText="1"/>
    </xf>
    <xf numFmtId="3" fontId="7" fillId="2" borderId="28" xfId="3" applyNumberFormat="1" applyFont="1" applyFill="1" applyBorder="1" applyAlignment="1">
      <alignment horizontal="center" wrapText="1"/>
    </xf>
    <xf numFmtId="3" fontId="8" fillId="2" borderId="28" xfId="3" applyNumberFormat="1" applyFont="1" applyFill="1" applyBorder="1" applyAlignment="1">
      <alignment horizontal="center" textRotation="90" wrapText="1"/>
    </xf>
    <xf numFmtId="3" fontId="7" fillId="2" borderId="29" xfId="3" applyNumberFormat="1" applyFont="1" applyFill="1" applyBorder="1" applyAlignment="1">
      <alignment horizontal="center" wrapText="1"/>
    </xf>
    <xf numFmtId="3" fontId="7" fillId="2" borderId="1" xfId="3" applyNumberFormat="1" applyFont="1" applyFill="1" applyBorder="1" applyAlignment="1">
      <alignment horizontal="center" wrapText="1"/>
    </xf>
    <xf numFmtId="3" fontId="7" fillId="2" borderId="3" xfId="3" applyNumberFormat="1" applyFont="1" applyFill="1" applyBorder="1" applyAlignment="1">
      <alignment horizontal="center" wrapText="1"/>
    </xf>
    <xf numFmtId="3" fontId="10" fillId="2" borderId="3" xfId="3" applyNumberFormat="1" applyFont="1" applyFill="1" applyBorder="1" applyAlignment="1">
      <alignment horizontal="center" textRotation="90" wrapText="1"/>
    </xf>
    <xf numFmtId="0" fontId="7" fillId="3" borderId="0" xfId="3" applyFont="1" applyFill="1" applyBorder="1"/>
    <xf numFmtId="3" fontId="7" fillId="3" borderId="28" xfId="3" applyNumberFormat="1" applyFont="1" applyFill="1" applyBorder="1" applyAlignment="1">
      <alignment horizontal="center" wrapText="1"/>
    </xf>
    <xf numFmtId="166" fontId="7" fillId="2" borderId="28" xfId="1" applyNumberFormat="1" applyFont="1" applyFill="1" applyBorder="1" applyAlignment="1">
      <alignment horizontal="center" wrapText="1"/>
    </xf>
    <xf numFmtId="166" fontId="0" fillId="0" borderId="0" xfId="0" applyNumberFormat="1"/>
    <xf numFmtId="3" fontId="6" fillId="0" borderId="30" xfId="3" applyNumberFormat="1" applyFont="1" applyBorder="1"/>
    <xf numFmtId="9" fontId="6" fillId="0" borderId="31" xfId="4" applyFont="1" applyBorder="1"/>
    <xf numFmtId="3" fontId="6" fillId="0" borderId="15" xfId="3" applyNumberFormat="1" applyFont="1" applyBorder="1"/>
    <xf numFmtId="9" fontId="10" fillId="0" borderId="30" xfId="4" applyNumberFormat="1" applyFont="1" applyBorder="1"/>
    <xf numFmtId="3" fontId="7" fillId="0" borderId="27" xfId="3" applyNumberFormat="1" applyFont="1" applyBorder="1" applyAlignment="1">
      <alignment horizontal="right"/>
    </xf>
    <xf numFmtId="166" fontId="6" fillId="0" borderId="15" xfId="1" applyNumberFormat="1" applyFont="1" applyBorder="1"/>
    <xf numFmtId="0" fontId="6" fillId="0" borderId="27" xfId="3" applyFont="1" applyBorder="1"/>
    <xf numFmtId="3" fontId="6" fillId="0" borderId="27" xfId="3" applyNumberFormat="1" applyFont="1" applyBorder="1"/>
    <xf numFmtId="9" fontId="10" fillId="0" borderId="30" xfId="4" applyFont="1" applyBorder="1"/>
    <xf numFmtId="166" fontId="6" fillId="0" borderId="27" xfId="1" applyNumberFormat="1" applyFont="1" applyBorder="1"/>
    <xf numFmtId="3" fontId="6" fillId="0" borderId="27" xfId="3" applyNumberFormat="1" applyFont="1" applyFill="1" applyBorder="1" applyAlignment="1">
      <alignment horizontal="left" wrapText="1"/>
    </xf>
    <xf numFmtId="3" fontId="6" fillId="0" borderId="30" xfId="3" applyNumberFormat="1" applyFont="1" applyFill="1" applyBorder="1" applyAlignment="1">
      <alignment horizontal="center" wrapText="1"/>
    </xf>
    <xf numFmtId="3" fontId="6" fillId="0" borderId="31" xfId="3" applyNumberFormat="1" applyFont="1" applyFill="1" applyBorder="1" applyAlignment="1">
      <alignment horizontal="center" wrapText="1"/>
    </xf>
    <xf numFmtId="3" fontId="6" fillId="0" borderId="27" xfId="3" applyNumberFormat="1" applyFont="1" applyFill="1" applyBorder="1" applyAlignment="1">
      <alignment horizontal="right" wrapText="1"/>
    </xf>
    <xf numFmtId="3" fontId="6" fillId="0" borderId="32" xfId="3" applyNumberFormat="1" applyFont="1" applyFill="1" applyBorder="1" applyAlignment="1">
      <alignment horizontal="right" wrapText="1"/>
    </xf>
    <xf numFmtId="3" fontId="6" fillId="0" borderId="32" xfId="3" applyNumberFormat="1" applyFont="1" applyFill="1" applyBorder="1" applyAlignment="1">
      <alignment horizontal="center" wrapText="1"/>
    </xf>
    <xf numFmtId="3" fontId="6" fillId="0" borderId="31" xfId="3" applyNumberFormat="1" applyFont="1" applyFill="1" applyBorder="1" applyAlignment="1">
      <alignment horizontal="right" wrapText="1"/>
    </xf>
    <xf numFmtId="3" fontId="7" fillId="3" borderId="7" xfId="3" applyNumberFormat="1" applyFont="1" applyFill="1" applyBorder="1" applyAlignment="1">
      <alignment horizontal="center" wrapText="1"/>
    </xf>
    <xf numFmtId="166" fontId="6" fillId="0" borderId="27" xfId="1" applyNumberFormat="1" applyFont="1" applyFill="1" applyBorder="1" applyAlignment="1">
      <alignment horizontal="right" wrapText="1"/>
    </xf>
    <xf numFmtId="3" fontId="6" fillId="0" borderId="7" xfId="3" applyNumberFormat="1" applyFont="1" applyFill="1" applyBorder="1" applyAlignment="1">
      <alignment horizontal="left" wrapText="1"/>
    </xf>
    <xf numFmtId="3" fontId="6" fillId="0" borderId="0" xfId="3" applyNumberFormat="1" applyFont="1" applyFill="1" applyBorder="1" applyAlignment="1">
      <alignment horizontal="center" wrapText="1"/>
    </xf>
    <xf numFmtId="3" fontId="6" fillId="0" borderId="7" xfId="3" applyNumberFormat="1" applyFont="1" applyFill="1" applyBorder="1" applyAlignment="1">
      <alignment horizontal="right" wrapText="1"/>
    </xf>
    <xf numFmtId="3" fontId="10" fillId="0" borderId="0" xfId="3" applyNumberFormat="1" applyFont="1" applyFill="1" applyBorder="1" applyAlignment="1">
      <alignment horizontal="center" wrapText="1"/>
    </xf>
    <xf numFmtId="3" fontId="6" fillId="0" borderId="0" xfId="3" applyNumberFormat="1" applyFont="1" applyFill="1" applyBorder="1" applyAlignment="1">
      <alignment horizontal="right" wrapText="1"/>
    </xf>
    <xf numFmtId="9" fontId="10" fillId="0" borderId="0" xfId="3" applyNumberFormat="1" applyFont="1" applyFill="1" applyBorder="1" applyAlignment="1">
      <alignment horizontal="center" wrapText="1"/>
    </xf>
    <xf numFmtId="3" fontId="7" fillId="3" borderId="8" xfId="3" applyNumberFormat="1" applyFont="1" applyFill="1" applyBorder="1" applyAlignment="1">
      <alignment horizontal="center" wrapText="1"/>
    </xf>
    <xf numFmtId="166" fontId="6" fillId="0" borderId="7" xfId="1" applyNumberFormat="1" applyFont="1" applyFill="1" applyBorder="1" applyAlignment="1">
      <alignment horizontal="right" wrapText="1"/>
    </xf>
    <xf numFmtId="3" fontId="6" fillId="0" borderId="10" xfId="3" applyNumberFormat="1" applyFont="1" applyBorder="1" applyAlignment="1">
      <alignment horizontal="left"/>
    </xf>
    <xf numFmtId="9" fontId="6" fillId="0" borderId="9" xfId="4" applyFont="1" applyBorder="1"/>
    <xf numFmtId="3" fontId="6" fillId="0" borderId="15" xfId="3" applyNumberFormat="1" applyFont="1" applyBorder="1" applyAlignment="1">
      <alignment horizontal="right"/>
    </xf>
    <xf numFmtId="3" fontId="6" fillId="0" borderId="33" xfId="3" applyNumberFormat="1" applyFont="1" applyBorder="1" applyAlignment="1">
      <alignment horizontal="right"/>
    </xf>
    <xf numFmtId="3" fontId="6" fillId="0" borderId="17" xfId="3" applyNumberFormat="1" applyFont="1" applyBorder="1" applyAlignment="1">
      <alignment horizontal="right"/>
    </xf>
    <xf numFmtId="3" fontId="6" fillId="0" borderId="8" xfId="3" applyNumberFormat="1" applyFont="1" applyBorder="1" applyAlignment="1">
      <alignment horizontal="right"/>
    </xf>
    <xf numFmtId="9" fontId="10" fillId="0" borderId="8" xfId="4" applyNumberFormat="1" applyFont="1" applyBorder="1"/>
    <xf numFmtId="3" fontId="7" fillId="0" borderId="15" xfId="3" applyNumberFormat="1" applyFont="1" applyBorder="1" applyAlignment="1">
      <alignment horizontal="right"/>
    </xf>
    <xf numFmtId="166" fontId="6" fillId="0" borderId="15" xfId="1" applyNumberFormat="1" applyFont="1" applyBorder="1" applyAlignment="1">
      <alignment horizontal="right"/>
    </xf>
    <xf numFmtId="0" fontId="6" fillId="0" borderId="7" xfId="3" applyFont="1" applyBorder="1" applyAlignment="1">
      <alignment wrapText="1"/>
    </xf>
    <xf numFmtId="3" fontId="6" fillId="0" borderId="19" xfId="3" applyNumberFormat="1" applyFont="1" applyBorder="1" applyAlignment="1">
      <alignment horizontal="left"/>
    </xf>
    <xf numFmtId="3" fontId="6" fillId="0" borderId="18" xfId="3" applyNumberFormat="1" applyFont="1" applyBorder="1" applyAlignment="1">
      <alignment horizontal="right"/>
    </xf>
    <xf numFmtId="3" fontId="6" fillId="0" borderId="34" xfId="3" applyNumberFormat="1" applyFont="1" applyBorder="1" applyAlignment="1">
      <alignment horizontal="right"/>
    </xf>
    <xf numFmtId="3" fontId="6" fillId="0" borderId="35" xfId="3" applyNumberFormat="1" applyFont="1" applyBorder="1" applyAlignment="1">
      <alignment horizontal="right"/>
    </xf>
    <xf numFmtId="3" fontId="6" fillId="0" borderId="7" xfId="3" applyNumberFormat="1" applyFont="1" applyBorder="1" applyAlignment="1">
      <alignment horizontal="right"/>
    </xf>
    <xf numFmtId="166" fontId="6" fillId="0" borderId="18" xfId="1" applyNumberFormat="1" applyFont="1" applyBorder="1" applyAlignment="1">
      <alignment horizontal="right"/>
    </xf>
    <xf numFmtId="0" fontId="5" fillId="2" borderId="28" xfId="3" applyFont="1" applyFill="1" applyBorder="1"/>
    <xf numFmtId="3" fontId="5" fillId="2" borderId="36" xfId="3" applyNumberFormat="1" applyFont="1" applyFill="1" applyBorder="1"/>
    <xf numFmtId="9" fontId="5" fillId="2" borderId="37" xfId="4" applyFont="1" applyFill="1" applyBorder="1"/>
    <xf numFmtId="3" fontId="5" fillId="2" borderId="28" xfId="3" applyNumberFormat="1" applyFont="1" applyFill="1" applyBorder="1"/>
    <xf numFmtId="9" fontId="5" fillId="2" borderId="36" xfId="4" applyFont="1" applyFill="1" applyBorder="1"/>
    <xf numFmtId="3" fontId="5" fillId="2" borderId="38" xfId="3" applyNumberFormat="1" applyFont="1" applyFill="1" applyBorder="1"/>
    <xf numFmtId="9" fontId="5" fillId="2" borderId="36" xfId="4" applyNumberFormat="1" applyFont="1" applyFill="1" applyBorder="1"/>
    <xf numFmtId="0" fontId="5" fillId="3" borderId="5" xfId="3" applyFont="1" applyFill="1" applyBorder="1"/>
    <xf numFmtId="3" fontId="5" fillId="3" borderId="39" xfId="3" applyNumberFormat="1" applyFont="1" applyFill="1" applyBorder="1"/>
    <xf numFmtId="166" fontId="6" fillId="2" borderId="28" xfId="1" applyNumberFormat="1" applyFont="1" applyFill="1" applyBorder="1"/>
    <xf numFmtId="43" fontId="0" fillId="0" borderId="0" xfId="0" applyNumberFormat="1"/>
    <xf numFmtId="43" fontId="0" fillId="0" borderId="0" xfId="1" applyFont="1"/>
    <xf numFmtId="0" fontId="0" fillId="0" borderId="40" xfId="0" applyBorder="1"/>
    <xf numFmtId="166" fontId="0" fillId="0" borderId="36" xfId="1" applyNumberFormat="1" applyFont="1" applyBorder="1"/>
    <xf numFmtId="0" fontId="6" fillId="2" borderId="9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>
      <alignment horizontal="left"/>
    </xf>
    <xf numFmtId="3" fontId="7" fillId="2" borderId="36" xfId="3" applyNumberFormat="1" applyFont="1" applyFill="1" applyBorder="1" applyAlignment="1">
      <alignment horizontal="center"/>
    </xf>
    <xf numFmtId="0" fontId="10" fillId="0" borderId="16" xfId="3" applyFont="1" applyBorder="1" applyAlignment="1">
      <alignment wrapText="1"/>
    </xf>
    <xf numFmtId="3" fontId="10" fillId="0" borderId="32" xfId="3" applyNumberFormat="1" applyFont="1" applyBorder="1"/>
    <xf numFmtId="10" fontId="10" fillId="0" borderId="32" xfId="4" applyNumberFormat="1" applyFont="1" applyBorder="1"/>
    <xf numFmtId="3" fontId="10" fillId="0" borderId="42" xfId="3" applyNumberFormat="1" applyFont="1" applyBorder="1"/>
    <xf numFmtId="9" fontId="10" fillId="0" borderId="42" xfId="4" applyFont="1" applyBorder="1"/>
    <xf numFmtId="167" fontId="10" fillId="0" borderId="42" xfId="3" applyNumberFormat="1" applyFont="1" applyBorder="1"/>
    <xf numFmtId="167" fontId="10" fillId="0" borderId="33" xfId="3" applyNumberFormat="1" applyFont="1" applyBorder="1"/>
    <xf numFmtId="9" fontId="10" fillId="0" borderId="43" xfId="4" applyNumberFormat="1" applyFont="1" applyBorder="1" applyAlignment="1">
      <alignment horizontal="right"/>
    </xf>
    <xf numFmtId="3" fontId="7" fillId="0" borderId="26" xfId="3" applyNumberFormat="1" applyFont="1" applyBorder="1"/>
    <xf numFmtId="3" fontId="7" fillId="0" borderId="22" xfId="3" applyNumberFormat="1" applyFont="1" applyBorder="1"/>
    <xf numFmtId="166" fontId="12" fillId="0" borderId="27" xfId="1" applyNumberFormat="1" applyFont="1" applyBorder="1"/>
    <xf numFmtId="0" fontId="10" fillId="0" borderId="0" xfId="3" applyFont="1" applyBorder="1" applyAlignment="1">
      <alignment wrapText="1"/>
    </xf>
    <xf numFmtId="0" fontId="10" fillId="0" borderId="30" xfId="3" applyFont="1" applyFill="1" applyBorder="1"/>
    <xf numFmtId="3" fontId="10" fillId="0" borderId="32" xfId="3" applyNumberFormat="1" applyFont="1" applyFill="1" applyBorder="1"/>
    <xf numFmtId="10" fontId="10" fillId="0" borderId="32" xfId="4" applyNumberFormat="1" applyFont="1" applyFill="1" applyBorder="1"/>
    <xf numFmtId="9" fontId="10" fillId="0" borderId="32" xfId="4" applyFont="1" applyFill="1" applyBorder="1"/>
    <xf numFmtId="167" fontId="10" fillId="0" borderId="32" xfId="3" applyNumberFormat="1" applyFont="1" applyFill="1" applyBorder="1"/>
    <xf numFmtId="167" fontId="10" fillId="0" borderId="33" xfId="3" applyNumberFormat="1" applyFont="1" applyFill="1" applyBorder="1"/>
    <xf numFmtId="0" fontId="7" fillId="0" borderId="41" xfId="3" applyFont="1" applyBorder="1"/>
    <xf numFmtId="3" fontId="7" fillId="0" borderId="27" xfId="3" applyNumberFormat="1" applyFont="1" applyBorder="1"/>
    <xf numFmtId="0" fontId="10" fillId="0" borderId="30" xfId="3" applyFont="1" applyBorder="1"/>
    <xf numFmtId="9" fontId="10" fillId="0" borderId="32" xfId="4" applyFont="1" applyBorder="1"/>
    <xf numFmtId="167" fontId="10" fillId="0" borderId="32" xfId="3" applyNumberFormat="1" applyFont="1" applyBorder="1"/>
    <xf numFmtId="3" fontId="7" fillId="0" borderId="41" xfId="3" applyNumberFormat="1" applyFont="1" applyBorder="1"/>
    <xf numFmtId="0" fontId="10" fillId="0" borderId="30" xfId="3" applyFont="1" applyBorder="1" applyAlignment="1">
      <alignment wrapText="1"/>
    </xf>
    <xf numFmtId="168" fontId="10" fillId="0" borderId="30" xfId="3" applyNumberFormat="1" applyFont="1" applyBorder="1" applyAlignment="1">
      <alignment horizontal="justify" vertical="center" wrapText="1"/>
    </xf>
    <xf numFmtId="0" fontId="10" fillId="0" borderId="30" xfId="3" applyFont="1" applyFill="1" applyBorder="1" applyAlignment="1">
      <alignment wrapText="1"/>
    </xf>
    <xf numFmtId="168" fontId="10" fillId="0" borderId="44" xfId="3" applyNumberFormat="1" applyFont="1" applyBorder="1" applyAlignment="1">
      <alignment horizontal="justify" vertical="center" wrapText="1"/>
    </xf>
    <xf numFmtId="3" fontId="10" fillId="0" borderId="45" xfId="3" applyNumberFormat="1" applyFont="1" applyBorder="1"/>
    <xf numFmtId="10" fontId="10" fillId="0" borderId="45" xfId="4" applyNumberFormat="1" applyFont="1" applyBorder="1"/>
    <xf numFmtId="9" fontId="10" fillId="0" borderId="45" xfId="4" applyFont="1" applyBorder="1"/>
    <xf numFmtId="167" fontId="10" fillId="0" borderId="45" xfId="3" applyNumberFormat="1" applyFont="1" applyBorder="1"/>
    <xf numFmtId="167" fontId="10" fillId="0" borderId="46" xfId="3" applyNumberFormat="1" applyFont="1" applyBorder="1"/>
    <xf numFmtId="166" fontId="12" fillId="0" borderId="27" xfId="1" applyNumberFormat="1" applyFont="1" applyFill="1" applyBorder="1"/>
    <xf numFmtId="0" fontId="6" fillId="2" borderId="30" xfId="3" applyFont="1" applyFill="1" applyBorder="1"/>
    <xf numFmtId="3" fontId="6" fillId="2" borderId="32" xfId="3" applyNumberFormat="1" applyFont="1" applyFill="1" applyBorder="1"/>
    <xf numFmtId="10" fontId="6" fillId="2" borderId="32" xfId="4" applyNumberFormat="1" applyFont="1" applyFill="1" applyBorder="1"/>
    <xf numFmtId="9" fontId="6" fillId="2" borderId="32" xfId="4" applyFont="1" applyFill="1" applyBorder="1"/>
    <xf numFmtId="9" fontId="6" fillId="2" borderId="47" xfId="4" applyNumberFormat="1" applyFont="1" applyFill="1" applyBorder="1"/>
    <xf numFmtId="3" fontId="13" fillId="3" borderId="41" xfId="3" applyNumberFormat="1" applyFont="1" applyFill="1" applyBorder="1"/>
    <xf numFmtId="3" fontId="6" fillId="3" borderId="28" xfId="3" applyNumberFormat="1" applyFont="1" applyFill="1" applyBorder="1"/>
    <xf numFmtId="0" fontId="14" fillId="0" borderId="0" xfId="0" applyFont="1"/>
    <xf numFmtId="3" fontId="6" fillId="2" borderId="27" xfId="3" applyNumberFormat="1" applyFont="1" applyFill="1" applyBorder="1"/>
    <xf numFmtId="9" fontId="10" fillId="2" borderId="48" xfId="4" applyNumberFormat="1" applyFont="1" applyFill="1" applyBorder="1"/>
    <xf numFmtId="3" fontId="0" fillId="0" borderId="0" xfId="0" applyNumberFormat="1"/>
    <xf numFmtId="167" fontId="10" fillId="0" borderId="31" xfId="3" applyNumberFormat="1" applyFont="1" applyBorder="1"/>
    <xf numFmtId="9" fontId="10" fillId="0" borderId="47" xfId="4" applyNumberFormat="1" applyFont="1" applyBorder="1" applyAlignment="1">
      <alignment horizontal="right"/>
    </xf>
    <xf numFmtId="167" fontId="10" fillId="0" borderId="34" xfId="3" applyNumberFormat="1" applyFont="1" applyBorder="1"/>
    <xf numFmtId="166" fontId="12" fillId="0" borderId="7" xfId="1" applyNumberFormat="1" applyFont="1" applyBorder="1"/>
    <xf numFmtId="3" fontId="10" fillId="0" borderId="32" xfId="3" applyNumberFormat="1" applyFont="1" applyBorder="1" applyAlignment="1">
      <alignment horizontal="left"/>
    </xf>
    <xf numFmtId="3" fontId="10" fillId="0" borderId="32" xfId="3" applyNumberFormat="1" applyFont="1" applyBorder="1" applyAlignment="1">
      <alignment horizontal="right"/>
    </xf>
    <xf numFmtId="3" fontId="7" fillId="0" borderId="18" xfId="3" applyNumberFormat="1" applyFont="1" applyBorder="1" applyAlignment="1">
      <alignment horizontal="right"/>
    </xf>
    <xf numFmtId="168" fontId="10" fillId="0" borderId="30" xfId="3" applyNumberFormat="1" applyFont="1" applyBorder="1" applyAlignment="1">
      <alignment horizontal="left" vertical="center"/>
    </xf>
    <xf numFmtId="0" fontId="10" fillId="0" borderId="30" xfId="5" applyFont="1" applyFill="1" applyBorder="1" applyAlignment="1">
      <alignment wrapText="1"/>
    </xf>
    <xf numFmtId="3" fontId="7" fillId="0" borderId="39" xfId="3" applyNumberFormat="1" applyFont="1" applyBorder="1"/>
    <xf numFmtId="3" fontId="6" fillId="3" borderId="49" xfId="3" applyNumberFormat="1" applyFont="1" applyFill="1" applyBorder="1"/>
    <xf numFmtId="3" fontId="10" fillId="0" borderId="31" xfId="3" applyNumberFormat="1" applyFont="1" applyBorder="1"/>
    <xf numFmtId="3" fontId="7" fillId="0" borderId="43" xfId="3" applyNumberFormat="1" applyFont="1" applyBorder="1"/>
    <xf numFmtId="3" fontId="7" fillId="0" borderId="50" xfId="3" applyNumberFormat="1" applyFont="1" applyBorder="1"/>
    <xf numFmtId="3" fontId="7" fillId="0" borderId="51" xfId="3" applyNumberFormat="1" applyFont="1" applyBorder="1"/>
    <xf numFmtId="3" fontId="13" fillId="3" borderId="35" xfId="3" applyNumberFormat="1" applyFont="1" applyFill="1" applyBorder="1"/>
    <xf numFmtId="3" fontId="6" fillId="3" borderId="29" xfId="3" applyNumberFormat="1" applyFont="1" applyFill="1" applyBorder="1"/>
    <xf numFmtId="168" fontId="10" fillId="0" borderId="7" xfId="3" applyNumberFormat="1" applyFont="1" applyFill="1" applyBorder="1" applyAlignment="1">
      <alignment horizontal="left" vertical="center" wrapText="1"/>
    </xf>
    <xf numFmtId="0" fontId="10" fillId="0" borderId="0" xfId="3" applyFont="1" applyFill="1" applyBorder="1"/>
    <xf numFmtId="3" fontId="10" fillId="0" borderId="0" xfId="3" applyNumberFormat="1" applyFont="1" applyFill="1" applyBorder="1"/>
    <xf numFmtId="10" fontId="8" fillId="0" borderId="0" xfId="4" applyNumberFormat="1" applyFont="1" applyFill="1" applyBorder="1"/>
    <xf numFmtId="9" fontId="10" fillId="0" borderId="0" xfId="4" applyFont="1" applyFill="1" applyBorder="1"/>
    <xf numFmtId="9" fontId="10" fillId="0" borderId="8" xfId="4" applyNumberFormat="1" applyFont="1" applyFill="1" applyBorder="1"/>
    <xf numFmtId="3" fontId="15" fillId="0" borderId="0" xfId="3" applyNumberFormat="1" applyFont="1" applyFill="1" applyBorder="1"/>
    <xf numFmtId="168" fontId="10" fillId="0" borderId="30" xfId="3" applyNumberFormat="1" applyFont="1" applyFill="1" applyBorder="1" applyAlignment="1">
      <alignment horizontal="justify" vertical="center" wrapText="1"/>
    </xf>
    <xf numFmtId="3" fontId="10" fillId="0" borderId="31" xfId="3" applyNumberFormat="1" applyFont="1" applyFill="1" applyBorder="1"/>
    <xf numFmtId="166" fontId="0" fillId="0" borderId="27" xfId="1" applyNumberFormat="1" applyFont="1" applyBorder="1"/>
    <xf numFmtId="3" fontId="6" fillId="2" borderId="31" xfId="3" applyNumberFormat="1" applyFont="1" applyFill="1" applyBorder="1"/>
    <xf numFmtId="3" fontId="6" fillId="0" borderId="35" xfId="3" applyNumberFormat="1" applyFont="1" applyFill="1" applyBorder="1"/>
    <xf numFmtId="3" fontId="6" fillId="0" borderId="29" xfId="3" applyNumberFormat="1" applyFont="1" applyFill="1" applyBorder="1"/>
    <xf numFmtId="168" fontId="10" fillId="0" borderId="27" xfId="3" applyNumberFormat="1" applyFont="1" applyFill="1" applyBorder="1" applyAlignment="1">
      <alignment horizontal="left" vertical="center" wrapText="1"/>
    </xf>
    <xf numFmtId="0" fontId="7" fillId="0" borderId="30" xfId="3" applyFont="1" applyFill="1" applyBorder="1"/>
    <xf numFmtId="3" fontId="7" fillId="0" borderId="32" xfId="3" applyNumberFormat="1" applyFont="1" applyFill="1" applyBorder="1"/>
    <xf numFmtId="10" fontId="7" fillId="0" borderId="32" xfId="4" applyNumberFormat="1" applyFont="1" applyFill="1" applyBorder="1"/>
    <xf numFmtId="3" fontId="7" fillId="0" borderId="31" xfId="3" applyNumberFormat="1" applyFont="1" applyFill="1" applyBorder="1"/>
    <xf numFmtId="9" fontId="10" fillId="0" borderId="47" xfId="4" applyNumberFormat="1" applyFont="1" applyFill="1" applyBorder="1"/>
    <xf numFmtId="3" fontId="7" fillId="0" borderId="0" xfId="3" applyNumberFormat="1" applyFont="1" applyFill="1" applyBorder="1"/>
    <xf numFmtId="3" fontId="7" fillId="0" borderId="8" xfId="3" applyNumberFormat="1" applyFont="1" applyFill="1" applyBorder="1"/>
    <xf numFmtId="168" fontId="5" fillId="0" borderId="27" xfId="3" applyNumberFormat="1" applyFont="1" applyBorder="1" applyAlignment="1">
      <alignment horizontal="left" vertical="center" wrapText="1"/>
    </xf>
    <xf numFmtId="0" fontId="5" fillId="2" borderId="30" xfId="3" applyFont="1" applyFill="1" applyBorder="1"/>
    <xf numFmtId="3" fontId="5" fillId="2" borderId="32" xfId="3" applyNumberFormat="1" applyFont="1" applyFill="1" applyBorder="1"/>
    <xf numFmtId="10" fontId="5" fillId="2" borderId="32" xfId="4" applyNumberFormat="1" applyFont="1" applyFill="1" applyBorder="1"/>
    <xf numFmtId="9" fontId="5" fillId="2" borderId="32" xfId="4" applyFont="1" applyFill="1" applyBorder="1"/>
    <xf numFmtId="9" fontId="5" fillId="2" borderId="47" xfId="4" applyNumberFormat="1" applyFont="1" applyFill="1" applyBorder="1"/>
    <xf numFmtId="3" fontId="5" fillId="0" borderId="0" xfId="3" applyNumberFormat="1" applyFont="1" applyFill="1" applyBorder="1"/>
    <xf numFmtId="3" fontId="5" fillId="0" borderId="8" xfId="3" applyNumberFormat="1" applyFont="1" applyFill="1" applyBorder="1" applyAlignment="1">
      <alignment horizontal="left" wrapText="1"/>
    </xf>
    <xf numFmtId="3" fontId="5" fillId="2" borderId="27" xfId="3" applyNumberFormat="1" applyFont="1" applyFill="1" applyBorder="1"/>
    <xf numFmtId="0" fontId="10" fillId="0" borderId="7" xfId="3" applyFont="1" applyBorder="1"/>
    <xf numFmtId="168" fontId="8" fillId="0" borderId="16" xfId="3" applyNumberFormat="1" applyFont="1" applyBorder="1" applyAlignment="1">
      <alignment horizontal="justify" vertical="center"/>
    </xf>
    <xf numFmtId="3" fontId="10" fillId="0" borderId="42" xfId="3" applyNumberFormat="1" applyFont="1" applyBorder="1" applyAlignment="1"/>
    <xf numFmtId="10" fontId="8" fillId="0" borderId="10" xfId="4" applyNumberFormat="1" applyFont="1" applyBorder="1" applyAlignment="1"/>
    <xf numFmtId="3" fontId="7" fillId="0" borderId="42" xfId="3" applyNumberFormat="1" applyFont="1" applyBorder="1" applyAlignment="1"/>
    <xf numFmtId="9" fontId="10" fillId="0" borderId="33" xfId="4" applyFont="1" applyBorder="1" applyAlignment="1"/>
    <xf numFmtId="9" fontId="10" fillId="0" borderId="43" xfId="4" applyNumberFormat="1" applyFont="1" applyBorder="1" applyAlignment="1"/>
    <xf numFmtId="3" fontId="7" fillId="0" borderId="17" xfId="3" applyNumberFormat="1" applyFont="1" applyBorder="1"/>
    <xf numFmtId="3" fontId="7" fillId="0" borderId="15" xfId="3" applyNumberFormat="1" applyFont="1" applyBorder="1" applyAlignment="1"/>
    <xf numFmtId="166" fontId="0" fillId="0" borderId="7" xfId="1" applyNumberFormat="1" applyFont="1" applyBorder="1"/>
    <xf numFmtId="168" fontId="8" fillId="0" borderId="44" xfId="3" applyNumberFormat="1" applyFont="1" applyBorder="1" applyAlignment="1">
      <alignment horizontal="justify" vertical="center" wrapText="1"/>
    </xf>
    <xf numFmtId="10" fontId="8" fillId="0" borderId="3" xfId="4" applyNumberFormat="1" applyFont="1" applyBorder="1"/>
    <xf numFmtId="3" fontId="7" fillId="0" borderId="45" xfId="3" applyNumberFormat="1" applyFont="1" applyBorder="1"/>
    <xf numFmtId="9" fontId="10" fillId="0" borderId="34" xfId="4" applyFont="1" applyBorder="1"/>
    <xf numFmtId="167" fontId="7" fillId="0" borderId="21" xfId="3" applyNumberFormat="1" applyFont="1" applyBorder="1"/>
    <xf numFmtId="167" fontId="7" fillId="0" borderId="0" xfId="3" applyNumberFormat="1" applyFont="1" applyBorder="1"/>
    <xf numFmtId="168" fontId="8" fillId="0" borderId="0" xfId="3" applyNumberFormat="1" applyFont="1" applyBorder="1" applyAlignment="1">
      <alignment horizontal="justify" vertical="center" wrapText="1"/>
    </xf>
    <xf numFmtId="3" fontId="10" fillId="0" borderId="0" xfId="3" applyNumberFormat="1" applyFont="1" applyBorder="1"/>
    <xf numFmtId="10" fontId="8" fillId="0" borderId="2" xfId="4" applyNumberFormat="1" applyFont="1" applyBorder="1"/>
    <xf numFmtId="9" fontId="10" fillId="0" borderId="0" xfId="4" applyFont="1" applyBorder="1"/>
    <xf numFmtId="9" fontId="10" fillId="0" borderId="0" xfId="4" applyNumberFormat="1" applyFont="1" applyBorder="1" applyAlignment="1"/>
    <xf numFmtId="3" fontId="7" fillId="0" borderId="8" xfId="3" applyNumberFormat="1" applyFont="1" applyBorder="1"/>
    <xf numFmtId="0" fontId="4" fillId="0" borderId="7" xfId="3" applyFont="1" applyBorder="1"/>
    <xf numFmtId="166" fontId="0" fillId="0" borderId="29" xfId="1" applyNumberFormat="1" applyFont="1" applyBorder="1"/>
    <xf numFmtId="166" fontId="0" fillId="0" borderId="12" xfId="1" applyNumberFormat="1" applyFont="1" applyBorder="1"/>
    <xf numFmtId="3" fontId="9" fillId="2" borderId="1" xfId="3" applyNumberFormat="1" applyFont="1" applyFill="1" applyBorder="1" applyAlignment="1">
      <alignment horizontal="center" wrapText="1"/>
    </xf>
    <xf numFmtId="3" fontId="7" fillId="2" borderId="23" xfId="3" applyNumberFormat="1" applyFont="1" applyFill="1" applyBorder="1" applyAlignment="1">
      <alignment horizontal="center" wrapText="1"/>
    </xf>
    <xf numFmtId="3" fontId="7" fillId="2" borderId="25" xfId="3" applyNumberFormat="1" applyFont="1" applyFill="1" applyBorder="1" applyAlignment="1">
      <alignment horizontal="center" wrapText="1"/>
    </xf>
    <xf numFmtId="0" fontId="2" fillId="3" borderId="2" xfId="3" applyFill="1" applyBorder="1"/>
    <xf numFmtId="3" fontId="7" fillId="2" borderId="52" xfId="3" applyNumberFormat="1" applyFont="1" applyFill="1" applyBorder="1" applyAlignment="1">
      <alignment horizontal="center" wrapText="1"/>
    </xf>
    <xf numFmtId="3" fontId="7" fillId="2" borderId="46" xfId="3" applyNumberFormat="1" applyFont="1" applyFill="1" applyBorder="1" applyAlignment="1">
      <alignment horizontal="center" wrapText="1"/>
    </xf>
    <xf numFmtId="3" fontId="7" fillId="2" borderId="8" xfId="3" applyNumberFormat="1" applyFont="1" applyFill="1" applyBorder="1" applyAlignment="1">
      <alignment horizontal="center" wrapText="1"/>
    </xf>
    <xf numFmtId="0" fontId="0" fillId="0" borderId="0" xfId="0" applyBorder="1"/>
    <xf numFmtId="3" fontId="9" fillId="0" borderId="0" xfId="3" applyNumberFormat="1" applyFont="1" applyFill="1" applyBorder="1" applyAlignment="1">
      <alignment horizontal="center" wrapText="1"/>
    </xf>
    <xf numFmtId="3" fontId="8" fillId="0" borderId="0" xfId="3" applyNumberFormat="1" applyFont="1" applyFill="1" applyBorder="1" applyAlignment="1">
      <alignment horizontal="center" textRotation="90" wrapText="1"/>
    </xf>
    <xf numFmtId="3" fontId="7" fillId="0" borderId="0" xfId="3" applyNumberFormat="1" applyFont="1" applyFill="1" applyBorder="1" applyAlignment="1">
      <alignment horizontal="center" wrapText="1"/>
    </xf>
    <xf numFmtId="3" fontId="7" fillId="0" borderId="21" xfId="3" applyNumberFormat="1" applyFont="1" applyFill="1" applyBorder="1" applyAlignment="1">
      <alignment horizontal="center" wrapText="1"/>
    </xf>
    <xf numFmtId="3" fontId="7" fillId="0" borderId="46" xfId="3" applyNumberFormat="1" applyFont="1" applyFill="1" applyBorder="1" applyAlignment="1">
      <alignment horizontal="center" wrapText="1"/>
    </xf>
    <xf numFmtId="9" fontId="10" fillId="0" borderId="0" xfId="3" applyNumberFormat="1" applyFont="1" applyFill="1" applyBorder="1" applyAlignment="1">
      <alignment horizontal="center" textRotation="90"/>
    </xf>
    <xf numFmtId="0" fontId="2" fillId="0" borderId="0" xfId="3" applyFill="1" applyBorder="1"/>
    <xf numFmtId="0" fontId="0" fillId="0" borderId="0" xfId="0" applyFill="1" applyBorder="1"/>
    <xf numFmtId="3" fontId="7" fillId="0" borderId="7" xfId="3" applyNumberFormat="1" applyFont="1" applyFill="1" applyBorder="1" applyAlignment="1">
      <alignment horizontal="center" wrapText="1"/>
    </xf>
    <xf numFmtId="9" fontId="10" fillId="2" borderId="8" xfId="3" applyNumberFormat="1" applyFont="1" applyFill="1" applyBorder="1" applyAlignment="1">
      <alignment horizontal="center" textRotation="90"/>
    </xf>
    <xf numFmtId="0" fontId="10" fillId="0" borderId="27" xfId="3" applyFont="1" applyBorder="1" applyAlignment="1">
      <alignment vertical="justify" wrapText="1"/>
    </xf>
    <xf numFmtId="9" fontId="10" fillId="0" borderId="32" xfId="4" applyNumberFormat="1" applyFont="1" applyBorder="1"/>
    <xf numFmtId="167" fontId="7" fillId="0" borderId="32" xfId="3" applyNumberFormat="1" applyFont="1" applyBorder="1"/>
    <xf numFmtId="9" fontId="10" fillId="0" borderId="32" xfId="4" applyNumberFormat="1" applyFont="1" applyBorder="1" applyAlignment="1"/>
    <xf numFmtId="3" fontId="7" fillId="3" borderId="32" xfId="3" applyNumberFormat="1" applyFont="1" applyFill="1" applyBorder="1"/>
    <xf numFmtId="0" fontId="0" fillId="0" borderId="31" xfId="0" applyBorder="1"/>
    <xf numFmtId="3" fontId="10" fillId="0" borderId="27" xfId="3" applyNumberFormat="1" applyFont="1" applyFill="1" applyBorder="1"/>
    <xf numFmtId="9" fontId="10" fillId="0" borderId="23" xfId="4" applyNumberFormat="1" applyFont="1" applyBorder="1"/>
    <xf numFmtId="0" fontId="5" fillId="0" borderId="27" xfId="3" applyFont="1" applyBorder="1" applyAlignment="1">
      <alignment vertical="justify" wrapText="1"/>
    </xf>
    <xf numFmtId="0" fontId="5" fillId="2" borderId="16" xfId="3" applyFont="1" applyFill="1" applyBorder="1"/>
    <xf numFmtId="3" fontId="5" fillId="2" borderId="42" xfId="3" applyNumberFormat="1" applyFont="1" applyFill="1" applyBorder="1"/>
    <xf numFmtId="10" fontId="5" fillId="2" borderId="42" xfId="4" applyNumberFormat="1" applyFont="1" applyFill="1" applyBorder="1"/>
    <xf numFmtId="9" fontId="5" fillId="2" borderId="42" xfId="4" applyFont="1" applyFill="1" applyBorder="1"/>
    <xf numFmtId="9" fontId="5" fillId="2" borderId="42" xfId="4" applyNumberFormat="1" applyFont="1" applyFill="1" applyBorder="1"/>
    <xf numFmtId="3" fontId="5" fillId="3" borderId="42" xfId="3" applyNumberFormat="1" applyFont="1" applyFill="1" applyBorder="1"/>
    <xf numFmtId="0" fontId="11" fillId="0" borderId="33" xfId="0" applyFont="1" applyBorder="1"/>
    <xf numFmtId="3" fontId="5" fillId="2" borderId="15" xfId="3" applyNumberFormat="1" applyFont="1" applyFill="1" applyBorder="1"/>
    <xf numFmtId="3" fontId="7" fillId="2" borderId="48" xfId="3" applyNumberFormat="1" applyFont="1" applyFill="1" applyBorder="1"/>
    <xf numFmtId="0" fontId="10" fillId="0" borderId="7" xfId="3" applyFont="1" applyBorder="1" applyAlignment="1">
      <alignment horizontal="left" wrapText="1"/>
    </xf>
    <xf numFmtId="10" fontId="8" fillId="0" borderId="32" xfId="4" applyNumberFormat="1" applyFont="1" applyFill="1" applyBorder="1"/>
    <xf numFmtId="9" fontId="10" fillId="0" borderId="32" xfId="4" applyNumberFormat="1" applyFont="1" applyFill="1" applyBorder="1"/>
    <xf numFmtId="3" fontId="7" fillId="0" borderId="32" xfId="3" applyNumberFormat="1" applyFont="1" applyBorder="1"/>
    <xf numFmtId="0" fontId="7" fillId="0" borderId="32" xfId="3" applyFont="1" applyBorder="1"/>
    <xf numFmtId="3" fontId="7" fillId="0" borderId="27" xfId="3" applyNumberFormat="1" applyFont="1" applyFill="1" applyBorder="1"/>
    <xf numFmtId="3" fontId="7" fillId="0" borderId="48" xfId="3" applyNumberFormat="1" applyFont="1" applyFill="1" applyBorder="1"/>
    <xf numFmtId="9" fontId="10" fillId="0" borderId="32" xfId="4" applyNumberFormat="1" applyFont="1" applyFill="1" applyBorder="1" applyAlignment="1">
      <alignment horizontal="right"/>
    </xf>
    <xf numFmtId="0" fontId="7" fillId="0" borderId="32" xfId="3" applyFont="1" applyFill="1" applyBorder="1"/>
    <xf numFmtId="9" fontId="10" fillId="0" borderId="48" xfId="4" applyNumberFormat="1" applyFont="1" applyBorder="1"/>
    <xf numFmtId="9" fontId="5" fillId="2" borderId="32" xfId="4" applyNumberFormat="1" applyFont="1" applyFill="1" applyBorder="1"/>
    <xf numFmtId="0" fontId="5" fillId="2" borderId="32" xfId="3" applyFont="1" applyFill="1" applyBorder="1"/>
    <xf numFmtId="0" fontId="11" fillId="0" borderId="31" xfId="0" applyFont="1" applyBorder="1"/>
    <xf numFmtId="0" fontId="10" fillId="0" borderId="7" xfId="3" applyFont="1" applyFill="1" applyBorder="1" applyAlignment="1">
      <alignment horizontal="left" wrapText="1"/>
    </xf>
    <xf numFmtId="0" fontId="5" fillId="0" borderId="39" xfId="3" applyFont="1" applyBorder="1" applyAlignment="1">
      <alignment horizontal="left" wrapText="1"/>
    </xf>
    <xf numFmtId="0" fontId="5" fillId="2" borderId="53" xfId="3" applyFont="1" applyFill="1" applyBorder="1"/>
    <xf numFmtId="3" fontId="5" fillId="2" borderId="54" xfId="3" applyNumberFormat="1" applyFont="1" applyFill="1" applyBorder="1"/>
    <xf numFmtId="10" fontId="5" fillId="2" borderId="54" xfId="4" applyNumberFormat="1" applyFont="1" applyFill="1" applyBorder="1"/>
    <xf numFmtId="9" fontId="5" fillId="2" borderId="54" xfId="4" applyFont="1" applyFill="1" applyBorder="1"/>
    <xf numFmtId="9" fontId="5" fillId="2" borderId="54" xfId="4" applyNumberFormat="1" applyFont="1" applyFill="1" applyBorder="1"/>
    <xf numFmtId="3" fontId="16" fillId="3" borderId="54" xfId="3" applyNumberFormat="1" applyFont="1" applyFill="1" applyBorder="1"/>
    <xf numFmtId="3" fontId="5" fillId="3" borderId="54" xfId="3" applyNumberFormat="1" applyFont="1" applyFill="1" applyBorder="1"/>
    <xf numFmtId="0" fontId="11" fillId="0" borderId="55" xfId="0" applyFont="1" applyBorder="1"/>
    <xf numFmtId="3" fontId="5" fillId="2" borderId="39" xfId="3" applyNumberFormat="1" applyFont="1" applyFill="1" applyBorder="1"/>
    <xf numFmtId="9" fontId="10" fillId="2" borderId="56" xfId="4" applyNumberFormat="1" applyFont="1" applyFill="1" applyBorder="1"/>
    <xf numFmtId="0" fontId="2" fillId="0" borderId="0" xfId="3" applyBorder="1" applyAlignment="1">
      <alignment horizontal="left" wrapText="1"/>
    </xf>
    <xf numFmtId="3" fontId="10" fillId="5" borderId="0" xfId="3" applyNumberFormat="1" applyFont="1" applyFill="1" applyBorder="1"/>
    <xf numFmtId="3" fontId="2" fillId="0" borderId="0" xfId="3" applyNumberFormat="1"/>
    <xf numFmtId="3" fontId="3" fillId="0" borderId="0" xfId="3" applyNumberFormat="1" applyFont="1"/>
    <xf numFmtId="3" fontId="2" fillId="0" borderId="0" xfId="3" applyNumberFormat="1" applyFont="1"/>
    <xf numFmtId="4" fontId="2" fillId="0" borderId="0" xfId="3" applyNumberFormat="1"/>
    <xf numFmtId="166" fontId="2" fillId="0" borderId="0" xfId="2" applyNumberFormat="1" applyFont="1"/>
    <xf numFmtId="167" fontId="2" fillId="0" borderId="0" xfId="5" applyNumberFormat="1" applyFill="1"/>
    <xf numFmtId="166" fontId="2" fillId="0" borderId="0" xfId="3" applyNumberFormat="1"/>
    <xf numFmtId="0" fontId="17" fillId="0" borderId="0" xfId="3" applyFont="1" applyBorder="1" applyAlignment="1">
      <alignment horizontal="center" wrapText="1"/>
    </xf>
    <xf numFmtId="3" fontId="6" fillId="3" borderId="29" xfId="3" applyNumberFormat="1" applyFont="1" applyFill="1" applyBorder="1" applyAlignment="1">
      <alignment horizontal="center" wrapText="1"/>
    </xf>
    <xf numFmtId="3" fontId="6" fillId="3" borderId="7" xfId="3" applyNumberFormat="1" applyFont="1" applyFill="1" applyBorder="1" applyAlignment="1">
      <alignment horizontal="center" wrapText="1"/>
    </xf>
    <xf numFmtId="3" fontId="7" fillId="2" borderId="29" xfId="3" applyNumberFormat="1" applyFont="1" applyFill="1" applyBorder="1" applyAlignment="1">
      <alignment horizontal="center" wrapText="1"/>
    </xf>
    <xf numFmtId="3" fontId="7" fillId="2" borderId="12" xfId="3" applyNumberFormat="1" applyFont="1" applyFill="1" applyBorder="1" applyAlignment="1">
      <alignment horizontal="center" wrapText="1"/>
    </xf>
    <xf numFmtId="9" fontId="10" fillId="2" borderId="3" xfId="3" applyNumberFormat="1" applyFont="1" applyFill="1" applyBorder="1" applyAlignment="1">
      <alignment horizontal="center" textRotation="90"/>
    </xf>
    <xf numFmtId="9" fontId="10" fillId="2" borderId="8" xfId="3" applyNumberFormat="1" applyFont="1" applyFill="1" applyBorder="1" applyAlignment="1">
      <alignment horizontal="center" textRotation="90"/>
    </xf>
    <xf numFmtId="168" fontId="10" fillId="0" borderId="27" xfId="3" applyNumberFormat="1" applyFont="1" applyFill="1" applyBorder="1" applyAlignment="1">
      <alignment horizontal="left" vertical="center" wrapText="1"/>
    </xf>
    <xf numFmtId="0" fontId="10" fillId="0" borderId="0" xfId="3" applyFont="1" applyBorder="1" applyAlignment="1">
      <alignment horizontal="center" wrapText="1"/>
    </xf>
    <xf numFmtId="3" fontId="7" fillId="2" borderId="7" xfId="3" applyNumberFormat="1" applyFont="1" applyFill="1" applyBorder="1" applyAlignment="1">
      <alignment horizontal="center" wrapText="1"/>
    </xf>
    <xf numFmtId="3" fontId="7" fillId="2" borderId="1" xfId="3" applyNumberFormat="1" applyFont="1" applyFill="1" applyBorder="1" applyAlignment="1">
      <alignment horizontal="center" wrapText="1"/>
    </xf>
    <xf numFmtId="3" fontId="7" fillId="2" borderId="9" xfId="3" applyNumberFormat="1" applyFont="1" applyFill="1" applyBorder="1" applyAlignment="1">
      <alignment horizontal="center" wrapText="1"/>
    </xf>
    <xf numFmtId="9" fontId="10" fillId="2" borderId="29" xfId="3" applyNumberFormat="1" applyFont="1" applyFill="1" applyBorder="1" applyAlignment="1">
      <alignment horizontal="center" textRotation="90"/>
    </xf>
    <xf numFmtId="9" fontId="10" fillId="2" borderId="7" xfId="3" applyNumberFormat="1" applyFont="1" applyFill="1" applyBorder="1" applyAlignment="1">
      <alignment horizontal="center" textRotation="90"/>
    </xf>
    <xf numFmtId="3" fontId="6" fillId="2" borderId="3" xfId="3" applyNumberFormat="1" applyFont="1" applyFill="1" applyBorder="1" applyAlignment="1">
      <alignment horizontal="center" wrapText="1"/>
    </xf>
    <xf numFmtId="3" fontId="6" fillId="2" borderId="8" xfId="3" applyNumberFormat="1" applyFont="1" applyFill="1" applyBorder="1" applyAlignment="1">
      <alignment horizontal="center" wrapText="1"/>
    </xf>
    <xf numFmtId="3" fontId="6" fillId="2" borderId="29" xfId="3" applyNumberFormat="1" applyFont="1" applyFill="1" applyBorder="1" applyAlignment="1">
      <alignment horizontal="center" wrapText="1"/>
    </xf>
    <xf numFmtId="3" fontId="6" fillId="2" borderId="7" xfId="3" applyNumberFormat="1" applyFont="1" applyFill="1" applyBorder="1" applyAlignment="1">
      <alignment horizontal="center" wrapText="1"/>
    </xf>
    <xf numFmtId="3" fontId="9" fillId="2" borderId="7" xfId="3" applyNumberFormat="1" applyFont="1" applyFill="1" applyBorder="1" applyAlignment="1">
      <alignment horizontal="center" wrapText="1"/>
    </xf>
    <xf numFmtId="3" fontId="8" fillId="2" borderId="29" xfId="3" applyNumberFormat="1" applyFont="1" applyFill="1" applyBorder="1" applyAlignment="1">
      <alignment horizontal="center" textRotation="90" wrapText="1"/>
    </xf>
    <xf numFmtId="3" fontId="8" fillId="2" borderId="7" xfId="3" applyNumberFormat="1" applyFont="1" applyFill="1" applyBorder="1" applyAlignment="1">
      <alignment horizontal="center" textRotation="90" wrapText="1"/>
    </xf>
    <xf numFmtId="168" fontId="10" fillId="0" borderId="22" xfId="3" applyNumberFormat="1" applyFont="1" applyBorder="1" applyAlignment="1">
      <alignment horizontal="left" vertical="center" wrapText="1"/>
    </xf>
    <xf numFmtId="0" fontId="10" fillId="0" borderId="27" xfId="3" applyFont="1" applyBorder="1" applyAlignment="1">
      <alignment wrapText="1"/>
    </xf>
    <xf numFmtId="168" fontId="10" fillId="0" borderId="27" xfId="3" applyNumberFormat="1" applyFont="1" applyBorder="1" applyAlignment="1">
      <alignment horizontal="center" vertical="center" wrapText="1"/>
    </xf>
    <xf numFmtId="168" fontId="10" fillId="0" borderId="27" xfId="3" applyNumberFormat="1" applyFont="1" applyBorder="1" applyAlignment="1">
      <alignment horizontal="left" vertical="center" wrapText="1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9" fontId="10" fillId="2" borderId="7" xfId="3" applyNumberFormat="1" applyFont="1" applyFill="1" applyBorder="1" applyAlignment="1">
      <alignment horizontal="center" vertical="center" textRotation="90" wrapText="1"/>
    </xf>
    <xf numFmtId="9" fontId="10" fillId="2" borderId="12" xfId="3" applyNumberFormat="1" applyFont="1" applyFill="1" applyBorder="1" applyAlignment="1">
      <alignment horizontal="center" vertical="center" textRotation="90" wrapText="1"/>
    </xf>
    <xf numFmtId="3" fontId="6" fillId="3" borderId="17" xfId="3" applyNumberFormat="1" applyFont="1" applyFill="1" applyBorder="1" applyAlignment="1">
      <alignment horizontal="center" vertical="center" wrapText="1"/>
    </xf>
    <xf numFmtId="3" fontId="6" fillId="3" borderId="41" xfId="3" applyNumberFormat="1" applyFont="1" applyFill="1" applyBorder="1" applyAlignment="1">
      <alignment horizontal="center" vertical="center" wrapText="1"/>
    </xf>
    <xf numFmtId="3" fontId="6" fillId="3" borderId="35" xfId="3" applyNumberFormat="1" applyFont="1" applyFill="1" applyBorder="1" applyAlignment="1">
      <alignment horizontal="center" vertical="center" wrapText="1"/>
    </xf>
    <xf numFmtId="3" fontId="6" fillId="3" borderId="7" xfId="3" applyNumberFormat="1" applyFont="1" applyFill="1" applyBorder="1" applyAlignment="1">
      <alignment horizontal="center" vertical="center" wrapText="1"/>
    </xf>
    <xf numFmtId="3" fontId="7" fillId="2" borderId="29" xfId="3" applyNumberFormat="1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wrapText="1"/>
    </xf>
    <xf numFmtId="9" fontId="10" fillId="0" borderId="3" xfId="3" applyNumberFormat="1" applyFont="1" applyFill="1" applyBorder="1" applyAlignment="1">
      <alignment horizontal="center" vertical="center" textRotation="90" wrapText="1"/>
    </xf>
    <xf numFmtId="9" fontId="10" fillId="0" borderId="8" xfId="3" applyNumberFormat="1" applyFont="1" applyFill="1" applyBorder="1" applyAlignment="1">
      <alignment horizontal="center" vertical="center" textRotation="90" wrapText="1"/>
    </xf>
    <xf numFmtId="9" fontId="10" fillId="0" borderId="6" xfId="3" applyNumberFormat="1" applyFont="1" applyFill="1" applyBorder="1" applyAlignment="1">
      <alignment horizontal="center" vertical="center" textRotation="90" wrapText="1"/>
    </xf>
    <xf numFmtId="3" fontId="7" fillId="2" borderId="37" xfId="3" applyNumberFormat="1" applyFont="1" applyFill="1" applyBorder="1" applyAlignment="1">
      <alignment horizontal="left" wrapText="1"/>
    </xf>
    <xf numFmtId="3" fontId="7" fillId="2" borderId="36" xfId="3" applyNumberFormat="1" applyFont="1" applyFill="1" applyBorder="1" applyAlignment="1">
      <alignment horizontal="left" wrapText="1"/>
    </xf>
    <xf numFmtId="3" fontId="7" fillId="2" borderId="7" xfId="3" applyNumberFormat="1" applyFont="1" applyFill="1" applyBorder="1" applyAlignment="1">
      <alignment horizontal="center" vertical="center" wrapText="1"/>
    </xf>
    <xf numFmtId="3" fontId="7" fillId="2" borderId="12" xfId="3" applyNumberFormat="1" applyFont="1" applyFill="1" applyBorder="1" applyAlignment="1">
      <alignment horizontal="center" vertical="center" wrapText="1"/>
    </xf>
    <xf numFmtId="3" fontId="7" fillId="2" borderId="8" xfId="3" applyNumberFormat="1" applyFont="1" applyFill="1" applyBorder="1" applyAlignment="1">
      <alignment horizontal="center" vertical="center" wrapText="1"/>
    </xf>
    <xf numFmtId="0" fontId="2" fillId="0" borderId="7" xfId="3" applyBorder="1" applyAlignment="1">
      <alignment horizontal="center" wrapText="1"/>
    </xf>
    <xf numFmtId="0" fontId="2" fillId="0" borderId="12" xfId="3" applyBorder="1" applyAlignment="1">
      <alignment horizontal="center" wrapText="1"/>
    </xf>
    <xf numFmtId="3" fontId="7" fillId="2" borderId="9" xfId="3" applyNumberFormat="1" applyFont="1" applyFill="1" applyBorder="1" applyAlignment="1">
      <alignment horizontal="center" vertical="center" wrapText="1"/>
    </xf>
    <xf numFmtId="166" fontId="7" fillId="2" borderId="7" xfId="1" applyNumberFormat="1" applyFont="1" applyFill="1" applyBorder="1" applyAlignment="1">
      <alignment horizontal="center" wrapText="1"/>
    </xf>
    <xf numFmtId="166" fontId="9" fillId="2" borderId="12" xfId="1" applyNumberFormat="1" applyFont="1" applyFill="1" applyBorder="1" applyAlignment="1">
      <alignment horizontal="center" wrapText="1"/>
    </xf>
    <xf numFmtId="0" fontId="7" fillId="0" borderId="0" xfId="3" applyFont="1" applyFill="1" applyBorder="1" applyAlignment="1">
      <alignment horizontal="center" wrapText="1"/>
    </xf>
    <xf numFmtId="0" fontId="7" fillId="0" borderId="37" xfId="3" applyFont="1" applyFill="1" applyBorder="1" applyAlignment="1">
      <alignment horizontal="center"/>
    </xf>
    <xf numFmtId="0" fontId="7" fillId="0" borderId="40" xfId="3" applyFont="1" applyFill="1" applyBorder="1" applyAlignment="1">
      <alignment horizontal="center"/>
    </xf>
    <xf numFmtId="0" fontId="7" fillId="0" borderId="36" xfId="3" applyFont="1" applyFill="1" applyBorder="1" applyAlignment="1">
      <alignment horizontal="center"/>
    </xf>
    <xf numFmtId="3" fontId="6" fillId="2" borderId="9" xfId="3" applyNumberFormat="1" applyFont="1" applyFill="1" applyBorder="1" applyAlignment="1">
      <alignment horizontal="center" vertical="center" wrapText="1"/>
    </xf>
    <xf numFmtId="3" fontId="7" fillId="2" borderId="6" xfId="3" applyNumberFormat="1" applyFont="1" applyFill="1" applyBorder="1" applyAlignment="1">
      <alignment horizontal="center" vertical="center" wrapText="1"/>
    </xf>
    <xf numFmtId="3" fontId="8" fillId="2" borderId="7" xfId="3" applyNumberFormat="1" applyFont="1" applyFill="1" applyBorder="1" applyAlignment="1">
      <alignment horizontal="center" vertical="center" textRotation="90" wrapText="1"/>
    </xf>
    <xf numFmtId="3" fontId="8" fillId="2" borderId="12" xfId="3" applyNumberFormat="1" applyFont="1" applyFill="1" applyBorder="1" applyAlignment="1">
      <alignment horizontal="center" vertical="center" textRotation="90" wrapText="1"/>
    </xf>
    <xf numFmtId="3" fontId="7" fillId="2" borderId="4" xfId="3" applyNumberFormat="1" applyFont="1" applyFill="1" applyBorder="1" applyAlignment="1">
      <alignment horizontal="center" wrapText="1"/>
    </xf>
    <xf numFmtId="9" fontId="10" fillId="2" borderId="12" xfId="3" applyNumberFormat="1" applyFont="1" applyFill="1" applyBorder="1" applyAlignment="1">
      <alignment horizontal="center" textRotation="90"/>
    </xf>
    <xf numFmtId="165" fontId="3" fillId="0" borderId="0" xfId="2" applyNumberFormat="1" applyFont="1" applyAlignment="1">
      <alignment horizontal="center" wrapText="1"/>
    </xf>
    <xf numFmtId="0" fontId="5" fillId="0" borderId="1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3" fontId="6" fillId="2" borderId="12" xfId="3" applyNumberFormat="1" applyFont="1" applyFill="1" applyBorder="1" applyAlignment="1">
      <alignment horizontal="center" wrapText="1"/>
    </xf>
    <xf numFmtId="3" fontId="6" fillId="2" borderId="6" xfId="3" applyNumberFormat="1" applyFont="1" applyFill="1" applyBorder="1" applyAlignment="1">
      <alignment horizontal="center" wrapText="1"/>
    </xf>
    <xf numFmtId="3" fontId="9" fillId="2" borderId="12" xfId="3" applyNumberFormat="1" applyFont="1" applyFill="1" applyBorder="1" applyAlignment="1">
      <alignment horizontal="center" wrapText="1"/>
    </xf>
    <xf numFmtId="3" fontId="8" fillId="2" borderId="12" xfId="3" applyNumberFormat="1" applyFont="1" applyFill="1" applyBorder="1" applyAlignment="1">
      <alignment horizontal="center" textRotation="90" wrapText="1"/>
    </xf>
  </cellXfs>
  <cellStyles count="6">
    <cellStyle name="Millares" xfId="1" builtinId="3"/>
    <cellStyle name="Millares 3" xfId="2"/>
    <cellStyle name="Normal" xfId="0" builtinId="0"/>
    <cellStyle name="Normal 2" xfId="5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urtadg/Downloads/Proyecto%20de%20Presupuesto%202014%20MAN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ÓN 2014 PROYECTADO"/>
      <sheetName val="OPERACIONES"/>
      <sheetName val="ANEXO SERVICIOS PERSONALES"/>
      <sheetName val="GENERALES"/>
      <sheetName val="PLAN DE CARGOS 2014"/>
      <sheetName val="PROYECCION RECAUDO"/>
      <sheetName val="anexo mantenimiento motos"/>
    </sheetNames>
    <sheetDataSet>
      <sheetData sheetId="0"/>
      <sheetData sheetId="1"/>
      <sheetData sheetId="2">
        <row r="31">
          <cell r="C31">
            <v>254617791.68699604</v>
          </cell>
        </row>
      </sheetData>
      <sheetData sheetId="3">
        <row r="25">
          <cell r="C25">
            <v>69382208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workbookViewId="0">
      <selection activeCell="B7" sqref="B7"/>
    </sheetView>
  </sheetViews>
  <sheetFormatPr baseColWidth="10" defaultRowHeight="15" x14ac:dyDescent="0.25"/>
  <cols>
    <col min="1" max="1" width="34.42578125" customWidth="1"/>
    <col min="2" max="2" width="92.140625" customWidth="1"/>
    <col min="3" max="3" width="11.7109375" hidden="1" customWidth="1"/>
    <col min="4" max="4" width="0" hidden="1" customWidth="1"/>
    <col min="5" max="5" width="22.28515625" hidden="1" customWidth="1"/>
    <col min="6" max="6" width="6.7109375" hidden="1" customWidth="1"/>
    <col min="7" max="18" width="0" hidden="1" customWidth="1"/>
    <col min="19" max="19" width="19.85546875" hidden="1" customWidth="1"/>
    <col min="20" max="20" width="5.28515625" hidden="1" customWidth="1"/>
    <col min="21" max="21" width="21.140625" hidden="1" customWidth="1"/>
    <col min="22" max="22" width="8" hidden="1" customWidth="1"/>
    <col min="23" max="25" width="0" hidden="1" customWidth="1"/>
    <col min="26" max="26" width="23" style="3" customWidth="1"/>
    <col min="27" max="27" width="5.7109375" hidden="1" customWidth="1"/>
    <col min="28" max="28" width="20.7109375" hidden="1" customWidth="1"/>
    <col min="29" max="30" width="12.7109375" hidden="1" customWidth="1"/>
    <col min="31" max="31" width="15.140625" hidden="1" customWidth="1"/>
  </cols>
  <sheetData>
    <row r="1" spans="1:30" ht="21" thickBot="1" x14ac:dyDescent="0.35">
      <c r="A1" s="387"/>
      <c r="B1" s="387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0" ht="20.25" x14ac:dyDescent="0.3">
      <c r="A2" s="1"/>
      <c r="B2" s="388" t="s">
        <v>0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2"/>
      <c r="Y2" s="4"/>
      <c r="Z2" s="5"/>
    </row>
    <row r="3" spans="1:30" ht="21" thickBot="1" x14ac:dyDescent="0.35">
      <c r="A3" s="1"/>
      <c r="B3" s="389" t="s">
        <v>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4"/>
      <c r="Y3" s="6"/>
      <c r="Z3" s="7"/>
    </row>
    <row r="4" spans="1:30" ht="63.75" x14ac:dyDescent="0.3">
      <c r="A4" s="1"/>
      <c r="B4" s="343" t="s">
        <v>2</v>
      </c>
      <c r="C4" s="341" t="s">
        <v>3</v>
      </c>
      <c r="D4" s="343" t="s">
        <v>4</v>
      </c>
      <c r="E4" s="335" t="s">
        <v>5</v>
      </c>
      <c r="F4" s="346" t="s">
        <v>6</v>
      </c>
      <c r="G4" s="335" t="s">
        <v>7</v>
      </c>
      <c r="H4" s="335" t="s">
        <v>8</v>
      </c>
      <c r="I4" s="335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  <c r="P4" s="335" t="s">
        <v>16</v>
      </c>
      <c r="Q4" s="10" t="s">
        <v>17</v>
      </c>
      <c r="R4" s="11" t="s">
        <v>18</v>
      </c>
      <c r="S4" s="337" t="s">
        <v>19</v>
      </c>
      <c r="T4" s="339" t="s">
        <v>20</v>
      </c>
      <c r="U4" s="12" t="s">
        <v>21</v>
      </c>
      <c r="V4" s="339" t="s">
        <v>20</v>
      </c>
      <c r="W4" s="13"/>
      <c r="X4" s="328" t="s">
        <v>22</v>
      </c>
      <c r="Z4" s="375" t="s">
        <v>23</v>
      </c>
    </row>
    <row r="5" spans="1:30" ht="33" thickBot="1" x14ac:dyDescent="0.35">
      <c r="A5" s="1"/>
      <c r="B5" s="390"/>
      <c r="C5" s="391"/>
      <c r="D5" s="390"/>
      <c r="E5" s="392"/>
      <c r="F5" s="393"/>
      <c r="G5" s="330"/>
      <c r="H5" s="330"/>
      <c r="I5" s="330"/>
      <c r="J5" s="14" t="s">
        <v>10</v>
      </c>
      <c r="K5" s="14" t="s">
        <v>11</v>
      </c>
      <c r="L5" s="14" t="s">
        <v>12</v>
      </c>
      <c r="M5" s="14" t="s">
        <v>13</v>
      </c>
      <c r="N5" s="15" t="s">
        <v>14</v>
      </c>
      <c r="O5" s="16" t="s">
        <v>15</v>
      </c>
      <c r="P5" s="330"/>
      <c r="Q5" s="17" t="s">
        <v>17</v>
      </c>
      <c r="R5" s="18" t="s">
        <v>18</v>
      </c>
      <c r="S5" s="385"/>
      <c r="T5" s="386"/>
      <c r="U5" s="18"/>
      <c r="V5" s="386"/>
      <c r="W5" s="13"/>
      <c r="X5" s="328" t="s">
        <v>22</v>
      </c>
      <c r="Z5" s="376"/>
    </row>
    <row r="6" spans="1:30" ht="20.25" x14ac:dyDescent="0.3">
      <c r="A6" s="19"/>
      <c r="B6" s="20" t="s">
        <v>24</v>
      </c>
      <c r="C6" s="21">
        <v>750357470</v>
      </c>
      <c r="D6" s="22" t="e">
        <v>#REF!</v>
      </c>
      <c r="E6" s="23">
        <v>193635799.13</v>
      </c>
      <c r="F6" s="24">
        <v>5.0396109262107969E-2</v>
      </c>
      <c r="G6" s="25">
        <v>193635799.13</v>
      </c>
      <c r="H6" s="25">
        <v>0</v>
      </c>
      <c r="I6" s="25"/>
      <c r="J6" s="25"/>
      <c r="K6" s="25"/>
      <c r="L6" s="25"/>
      <c r="M6" s="25"/>
      <c r="N6" s="25"/>
      <c r="O6" s="26"/>
      <c r="P6" s="27"/>
      <c r="Q6" s="25">
        <v>0</v>
      </c>
      <c r="R6" s="26"/>
      <c r="S6" s="28">
        <v>193635799.13</v>
      </c>
      <c r="T6" s="29">
        <v>1</v>
      </c>
      <c r="U6" s="28">
        <v>193635799</v>
      </c>
      <c r="V6" s="29">
        <v>0.99999999932863659</v>
      </c>
      <c r="W6" s="30"/>
      <c r="X6" s="31">
        <v>737540061</v>
      </c>
      <c r="Z6" s="32">
        <v>200000000</v>
      </c>
    </row>
    <row r="7" spans="1:30" ht="21" thickBot="1" x14ac:dyDescent="0.35">
      <c r="A7" s="19"/>
      <c r="B7" s="33" t="s">
        <v>25</v>
      </c>
      <c r="C7" s="34">
        <v>2288000000</v>
      </c>
      <c r="D7" s="22" t="e">
        <v>#REF!</v>
      </c>
      <c r="E7" s="35">
        <v>3648640955.27</v>
      </c>
      <c r="F7" s="36">
        <v>0.94960389073789198</v>
      </c>
      <c r="G7" s="37"/>
      <c r="H7" s="38">
        <v>0</v>
      </c>
      <c r="I7" s="38"/>
      <c r="J7" s="38"/>
      <c r="K7" s="38"/>
      <c r="L7" s="38"/>
      <c r="M7" s="39">
        <v>680640955</v>
      </c>
      <c r="N7" s="39"/>
      <c r="O7" s="40"/>
      <c r="P7" s="41">
        <v>0</v>
      </c>
      <c r="Q7" s="41">
        <v>0</v>
      </c>
      <c r="R7" s="41">
        <v>0</v>
      </c>
      <c r="S7" s="42">
        <v>680640955</v>
      </c>
      <c r="T7" s="29">
        <v>0.18654643286204972</v>
      </c>
      <c r="U7" s="42">
        <v>3445697505</v>
      </c>
      <c r="V7" s="43">
        <v>0.94437834449649705</v>
      </c>
      <c r="W7" s="30"/>
      <c r="X7" s="31">
        <v>2288000000</v>
      </c>
      <c r="Z7" s="44">
        <v>2700000000</v>
      </c>
    </row>
    <row r="8" spans="1:30" ht="21.75" thickBot="1" x14ac:dyDescent="0.4">
      <c r="A8" s="19"/>
      <c r="B8" s="45" t="s">
        <v>26</v>
      </c>
      <c r="C8" s="46">
        <v>3038357470</v>
      </c>
      <c r="D8" s="47" t="e">
        <v>#REF!</v>
      </c>
      <c r="E8" s="48">
        <v>3842276754.4000001</v>
      </c>
      <c r="F8" s="47">
        <v>1</v>
      </c>
      <c r="G8" s="49">
        <v>193635799.13</v>
      </c>
      <c r="H8" s="49">
        <v>0</v>
      </c>
      <c r="I8" s="49">
        <v>0</v>
      </c>
      <c r="J8" s="49">
        <v>0</v>
      </c>
      <c r="K8" s="49">
        <v>0</v>
      </c>
      <c r="L8" s="50"/>
      <c r="M8" s="50">
        <v>680640955</v>
      </c>
      <c r="N8" s="50">
        <v>0</v>
      </c>
      <c r="O8" s="50">
        <v>0</v>
      </c>
      <c r="P8" s="51">
        <v>0</v>
      </c>
      <c r="Q8" s="52">
        <v>0</v>
      </c>
      <c r="R8" s="50">
        <v>0</v>
      </c>
      <c r="S8" s="50">
        <v>874276754.13</v>
      </c>
      <c r="T8" s="53">
        <v>0.22754132771118535</v>
      </c>
      <c r="U8" s="48">
        <v>3639333304</v>
      </c>
      <c r="V8" s="53">
        <v>0.94718145949075672</v>
      </c>
      <c r="W8" s="54"/>
      <c r="X8" s="55">
        <v>3025540061</v>
      </c>
      <c r="Y8" s="56"/>
      <c r="Z8" s="57">
        <f>Z7+Z6</f>
        <v>2900000000</v>
      </c>
    </row>
    <row r="9" spans="1:30" ht="21" thickBot="1" x14ac:dyDescent="0.35">
      <c r="A9" s="19"/>
      <c r="B9" s="58"/>
      <c r="C9" s="59"/>
      <c r="D9" s="59"/>
      <c r="E9" s="60"/>
      <c r="F9" s="61"/>
      <c r="G9" s="61"/>
      <c r="H9" s="61"/>
      <c r="I9" s="61"/>
      <c r="J9" s="61"/>
      <c r="K9" s="61"/>
      <c r="L9" s="61"/>
      <c r="M9" s="61"/>
      <c r="N9" s="30"/>
      <c r="O9" s="30"/>
      <c r="P9" s="30"/>
      <c r="Q9" s="30"/>
      <c r="R9" s="30"/>
      <c r="S9" s="30"/>
      <c r="T9" s="30"/>
      <c r="U9" s="30"/>
      <c r="V9" s="62"/>
      <c r="W9" s="30"/>
      <c r="X9" s="63"/>
      <c r="Z9" s="64"/>
    </row>
    <row r="10" spans="1:30" ht="80.25" thickBot="1" x14ac:dyDescent="0.35">
      <c r="A10" s="19"/>
      <c r="B10" s="65" t="s">
        <v>27</v>
      </c>
      <c r="C10" s="66" t="s">
        <v>3</v>
      </c>
      <c r="D10" s="67" t="s">
        <v>4</v>
      </c>
      <c r="E10" s="68" t="s">
        <v>5</v>
      </c>
      <c r="F10" s="69" t="s">
        <v>6</v>
      </c>
      <c r="G10" s="70" t="s">
        <v>7</v>
      </c>
      <c r="H10" s="70" t="s">
        <v>8</v>
      </c>
      <c r="I10" s="70" t="s">
        <v>9</v>
      </c>
      <c r="J10" s="70" t="s">
        <v>10</v>
      </c>
      <c r="K10" s="70" t="s">
        <v>11</v>
      </c>
      <c r="L10" s="70" t="s">
        <v>12</v>
      </c>
      <c r="M10" s="70" t="s">
        <v>13</v>
      </c>
      <c r="N10" s="70" t="s">
        <v>14</v>
      </c>
      <c r="O10" s="71" t="s">
        <v>15</v>
      </c>
      <c r="P10" s="68" t="s">
        <v>16</v>
      </c>
      <c r="Q10" s="72" t="s">
        <v>17</v>
      </c>
      <c r="R10" s="71" t="s">
        <v>18</v>
      </c>
      <c r="S10" s="68" t="s">
        <v>19</v>
      </c>
      <c r="T10" s="73" t="s">
        <v>20</v>
      </c>
      <c r="U10" s="12" t="s">
        <v>21</v>
      </c>
      <c r="V10" s="73" t="s">
        <v>20</v>
      </c>
      <c r="W10" s="74"/>
      <c r="X10" s="75" t="s">
        <v>22</v>
      </c>
      <c r="Z10" s="76" t="s">
        <v>28</v>
      </c>
      <c r="AC10" s="77">
        <f>3020000000-Z17</f>
        <v>120000000.31300402</v>
      </c>
    </row>
    <row r="11" spans="1:30" ht="20.25" x14ac:dyDescent="0.3">
      <c r="A11" s="19"/>
      <c r="B11" s="20" t="s">
        <v>29</v>
      </c>
      <c r="C11" s="78">
        <v>1459166543.52</v>
      </c>
      <c r="D11" s="79" t="e">
        <v>#REF!</v>
      </c>
      <c r="E11" s="80">
        <v>3269582108</v>
      </c>
      <c r="F11" s="24">
        <v>0.85094914213449713</v>
      </c>
      <c r="G11" s="80">
        <v>26715219.600000001</v>
      </c>
      <c r="H11" s="80">
        <v>50524290.800000004</v>
      </c>
      <c r="I11" s="80">
        <v>32293525</v>
      </c>
      <c r="J11" s="80">
        <v>82983014.189999998</v>
      </c>
      <c r="K11" s="80">
        <v>243641330.20000002</v>
      </c>
      <c r="L11" s="80">
        <v>579771737.39999998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1331205552.1900001</v>
      </c>
      <c r="T11" s="29">
        <v>0.40714853097978848</v>
      </c>
      <c r="U11" s="80">
        <v>3183222415</v>
      </c>
      <c r="V11" s="81">
        <v>0.97358693247412398</v>
      </c>
      <c r="W11" s="30"/>
      <c r="X11" s="82" t="e">
        <v>#VALUE!</v>
      </c>
      <c r="Z11" s="83">
        <f>+Z57</f>
        <v>2376000000</v>
      </c>
      <c r="AB11" s="83">
        <f>+Z7*0.88</f>
        <v>2376000000</v>
      </c>
      <c r="AC11" s="77">
        <f>+AB11-Z11</f>
        <v>0</v>
      </c>
    </row>
    <row r="12" spans="1:30" ht="20.25" x14ac:dyDescent="0.3">
      <c r="A12" s="19"/>
      <c r="B12" s="84" t="s">
        <v>30</v>
      </c>
      <c r="C12" s="78">
        <v>750357470</v>
      </c>
      <c r="D12" s="79" t="e">
        <v>#REF!</v>
      </c>
      <c r="E12" s="85">
        <v>248835687.40000001</v>
      </c>
      <c r="F12" s="86">
        <v>6.4762562226951703E-2</v>
      </c>
      <c r="G12" s="85">
        <v>30312357.879999999</v>
      </c>
      <c r="H12" s="85">
        <v>6461600</v>
      </c>
      <c r="I12" s="85">
        <v>186944661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223718618.88</v>
      </c>
      <c r="T12" s="29">
        <v>0.89906163065901135</v>
      </c>
      <c r="U12" s="85">
        <v>223718618.88</v>
      </c>
      <c r="V12" s="81">
        <v>0.89906163065901135</v>
      </c>
      <c r="W12" s="30"/>
      <c r="X12" s="82">
        <v>248835687.40000001</v>
      </c>
      <c r="Z12" s="87">
        <f>+Z71</f>
        <v>200000000</v>
      </c>
      <c r="AB12" s="87">
        <v>200000000</v>
      </c>
    </row>
    <row r="13" spans="1:30" ht="21" thickBot="1" x14ac:dyDescent="0.35">
      <c r="A13" s="19"/>
      <c r="B13" s="88" t="s">
        <v>31</v>
      </c>
      <c r="C13" s="89">
        <v>373490267.54368001</v>
      </c>
      <c r="D13" s="90"/>
      <c r="E13" s="91">
        <v>323858959</v>
      </c>
      <c r="F13" s="86">
        <v>8.4288295638551156E-2</v>
      </c>
      <c r="G13" s="92">
        <v>24300460.649999999</v>
      </c>
      <c r="H13" s="93">
        <v>25831656</v>
      </c>
      <c r="I13" s="92">
        <v>26050194</v>
      </c>
      <c r="J13" s="93">
        <v>26411790</v>
      </c>
      <c r="K13" s="93">
        <v>26836565</v>
      </c>
      <c r="L13" s="93">
        <v>25319858</v>
      </c>
      <c r="M13" s="93">
        <v>25584878</v>
      </c>
      <c r="N13" s="93">
        <v>29274988</v>
      </c>
      <c r="O13" s="90">
        <v>25680019</v>
      </c>
      <c r="P13" s="91">
        <v>31151538</v>
      </c>
      <c r="Q13" s="91">
        <v>30709089</v>
      </c>
      <c r="R13" s="94">
        <v>25241234</v>
      </c>
      <c r="S13" s="91">
        <v>154750523.65000001</v>
      </c>
      <c r="T13" s="29">
        <v>0.47783307933747793</v>
      </c>
      <c r="U13" s="91">
        <v>322392269.64999998</v>
      </c>
      <c r="V13" s="81">
        <v>0.99547120958293445</v>
      </c>
      <c r="W13" s="74"/>
      <c r="X13" s="95">
        <v>308437103.96399999</v>
      </c>
      <c r="Z13" s="96">
        <f>+Z68</f>
        <v>323999999.68699604</v>
      </c>
      <c r="AB13" s="96">
        <f>+Z7*0.12</f>
        <v>324000000</v>
      </c>
      <c r="AC13" s="77">
        <f>+Z13-AB13</f>
        <v>-0.31300395727157593</v>
      </c>
      <c r="AD13">
        <v>12</v>
      </c>
    </row>
    <row r="14" spans="1:30" ht="20.25" hidden="1" x14ac:dyDescent="0.3">
      <c r="A14" s="59"/>
      <c r="B14" s="97"/>
      <c r="C14" s="98"/>
      <c r="D14" s="98"/>
      <c r="E14" s="99"/>
      <c r="F14" s="100"/>
      <c r="G14" s="98"/>
      <c r="H14" s="98"/>
      <c r="I14" s="98"/>
      <c r="J14" s="98"/>
      <c r="K14" s="98"/>
      <c r="L14" s="98"/>
      <c r="M14" s="98"/>
      <c r="N14" s="98"/>
      <c r="O14" s="98"/>
      <c r="P14" s="99"/>
      <c r="Q14" s="101"/>
      <c r="R14" s="101"/>
      <c r="S14" s="99"/>
      <c r="T14" s="101"/>
      <c r="U14" s="101"/>
      <c r="V14" s="102"/>
      <c r="W14" s="74"/>
      <c r="X14" s="103"/>
      <c r="Z14" s="104"/>
      <c r="AB14" s="104"/>
    </row>
    <row r="15" spans="1:30" ht="20.25" hidden="1" x14ac:dyDescent="0.3">
      <c r="A15" s="19"/>
      <c r="B15" s="20" t="s">
        <v>32</v>
      </c>
      <c r="C15" s="105">
        <v>242880685.54368001</v>
      </c>
      <c r="D15" s="106" t="e">
        <v>#REF!</v>
      </c>
      <c r="E15" s="107">
        <v>249030950</v>
      </c>
      <c r="F15" s="36">
        <v>6.4813381731240752E-2</v>
      </c>
      <c r="G15" s="108">
        <v>20204365</v>
      </c>
      <c r="H15" s="108">
        <v>20650750</v>
      </c>
      <c r="I15" s="108">
        <v>20544878</v>
      </c>
      <c r="J15" s="108">
        <v>20544879</v>
      </c>
      <c r="K15" s="108">
        <v>20854679</v>
      </c>
      <c r="L15" s="108">
        <v>21118679</v>
      </c>
      <c r="M15" s="108">
        <v>21282703</v>
      </c>
      <c r="N15" s="108">
        <v>20318703</v>
      </c>
      <c r="O15" s="108">
        <v>20318703</v>
      </c>
      <c r="P15" s="107">
        <v>20318703</v>
      </c>
      <c r="Q15" s="109">
        <v>22135194</v>
      </c>
      <c r="R15" s="108">
        <v>20669339</v>
      </c>
      <c r="S15" s="107">
        <v>123918230</v>
      </c>
      <c r="T15" s="110"/>
      <c r="U15" s="110"/>
      <c r="V15" s="111">
        <v>3.2251250474889526E-2</v>
      </c>
      <c r="W15" s="30"/>
      <c r="X15" s="112">
        <v>234108770.56400001</v>
      </c>
      <c r="Z15" s="113">
        <v>249030950</v>
      </c>
      <c r="AB15" s="113">
        <v>249030950</v>
      </c>
    </row>
    <row r="16" spans="1:30" ht="21" hidden="1" thickBot="1" x14ac:dyDescent="0.35">
      <c r="A16" s="19"/>
      <c r="B16" s="114" t="s">
        <v>33</v>
      </c>
      <c r="C16" s="115">
        <v>130609582</v>
      </c>
      <c r="D16" s="106" t="e">
        <v>#REF!</v>
      </c>
      <c r="E16" s="116">
        <v>74828009</v>
      </c>
      <c r="F16" s="36">
        <v>1.9474913907310393E-2</v>
      </c>
      <c r="G16" s="117">
        <v>4096095.65</v>
      </c>
      <c r="H16" s="117">
        <v>5180906</v>
      </c>
      <c r="I16" s="117">
        <v>5505316</v>
      </c>
      <c r="J16" s="117">
        <v>5866911</v>
      </c>
      <c r="K16" s="117">
        <v>5981886</v>
      </c>
      <c r="L16" s="117">
        <v>4201179</v>
      </c>
      <c r="M16" s="117">
        <v>4302175</v>
      </c>
      <c r="N16" s="117">
        <v>8956285</v>
      </c>
      <c r="O16" s="117">
        <v>5361316</v>
      </c>
      <c r="P16" s="116">
        <v>10832835</v>
      </c>
      <c r="Q16" s="118">
        <v>8573895</v>
      </c>
      <c r="R16" s="117">
        <v>4571895</v>
      </c>
      <c r="S16" s="119">
        <v>30832293.649999999</v>
      </c>
      <c r="T16" s="110"/>
      <c r="U16" s="110"/>
      <c r="V16" s="111">
        <v>8.024485382187075E-3</v>
      </c>
      <c r="W16" s="30"/>
      <c r="X16" s="112">
        <v>74328333.400000006</v>
      </c>
      <c r="Z16" s="120">
        <v>74828009</v>
      </c>
      <c r="AB16" s="120">
        <v>74828009</v>
      </c>
    </row>
    <row r="17" spans="1:32" ht="21.75" thickBot="1" x14ac:dyDescent="0.4">
      <c r="A17" s="19"/>
      <c r="B17" s="121" t="s">
        <v>34</v>
      </c>
      <c r="C17" s="122">
        <v>373490267.54368001</v>
      </c>
      <c r="D17" s="123" t="e">
        <v>#REF!</v>
      </c>
      <c r="E17" s="124">
        <v>3842276754.4000001</v>
      </c>
      <c r="F17" s="125">
        <v>1</v>
      </c>
      <c r="G17" s="126">
        <v>81328038.129999995</v>
      </c>
      <c r="H17" s="126">
        <v>82817546.800000012</v>
      </c>
      <c r="I17" s="126">
        <v>245288380</v>
      </c>
      <c r="J17" s="126">
        <v>109394804.19</v>
      </c>
      <c r="K17" s="126">
        <v>270477895.20000005</v>
      </c>
      <c r="L17" s="126">
        <v>605091595.39999998</v>
      </c>
      <c r="M17" s="126">
        <v>25584878</v>
      </c>
      <c r="N17" s="126">
        <v>29274988</v>
      </c>
      <c r="O17" s="126">
        <v>25680019</v>
      </c>
      <c r="P17" s="124">
        <v>31151538</v>
      </c>
      <c r="Q17" s="124">
        <v>30709089</v>
      </c>
      <c r="R17" s="124">
        <v>25241234</v>
      </c>
      <c r="S17" s="124">
        <v>1709674694.7200003</v>
      </c>
      <c r="T17" s="127">
        <v>0.44496396381706727</v>
      </c>
      <c r="U17" s="124">
        <v>3729333303.5300002</v>
      </c>
      <c r="V17" s="127">
        <v>0.97060507139662389</v>
      </c>
      <c r="W17" s="128"/>
      <c r="X17" s="129">
        <v>308437103.96399999</v>
      </c>
      <c r="Y17" s="56"/>
      <c r="Z17" s="57">
        <f>Z11+Z12+Z13</f>
        <v>2899999999.686996</v>
      </c>
      <c r="AB17" s="130">
        <f>AB11+AB12+AB13</f>
        <v>2900000000</v>
      </c>
      <c r="AC17" s="77">
        <f>+Z17-AB17</f>
        <v>-0.3130040168762207</v>
      </c>
      <c r="AD17">
        <v>100</v>
      </c>
      <c r="AE17" s="131">
        <f>+AD17*AC13</f>
        <v>-31.300395727157593</v>
      </c>
    </row>
    <row r="18" spans="1:32" ht="16.5" thickBot="1" x14ac:dyDescent="0.3">
      <c r="A18" s="377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AE18" s="132">
        <f>+AE17/AD13</f>
        <v>-2.6083663105964661</v>
      </c>
    </row>
    <row r="19" spans="1:32" ht="16.5" thickBot="1" x14ac:dyDescent="0.3">
      <c r="A19" s="378"/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80"/>
      <c r="Y19" s="133"/>
      <c r="Z19" s="134"/>
    </row>
    <row r="20" spans="1:32" ht="18.75" thickBot="1" x14ac:dyDescent="0.3">
      <c r="A20" s="135" t="s">
        <v>35</v>
      </c>
      <c r="B20" s="136" t="s">
        <v>36</v>
      </c>
      <c r="C20" s="381" t="s">
        <v>3</v>
      </c>
      <c r="D20" s="381" t="s">
        <v>4</v>
      </c>
      <c r="E20" s="371" t="s">
        <v>5</v>
      </c>
      <c r="F20" s="383" t="s">
        <v>6</v>
      </c>
      <c r="G20" s="374" t="s">
        <v>7</v>
      </c>
      <c r="H20" s="374" t="s">
        <v>8</v>
      </c>
      <c r="I20" s="374" t="s">
        <v>9</v>
      </c>
      <c r="J20" s="374" t="s">
        <v>10</v>
      </c>
      <c r="K20" s="374" t="s">
        <v>11</v>
      </c>
      <c r="L20" s="374" t="s">
        <v>12</v>
      </c>
      <c r="M20" s="374" t="s">
        <v>13</v>
      </c>
      <c r="N20" s="369" t="s">
        <v>14</v>
      </c>
      <c r="O20" s="369" t="s">
        <v>15</v>
      </c>
      <c r="P20" s="369" t="s">
        <v>16</v>
      </c>
      <c r="Q20" s="369" t="s">
        <v>17</v>
      </c>
      <c r="R20" s="369" t="s">
        <v>18</v>
      </c>
      <c r="S20" s="369" t="s">
        <v>19</v>
      </c>
      <c r="T20" s="355" t="s">
        <v>20</v>
      </c>
      <c r="U20" s="335" t="s">
        <v>21</v>
      </c>
      <c r="V20" s="355" t="s">
        <v>20</v>
      </c>
      <c r="W20" s="357" t="s">
        <v>37</v>
      </c>
      <c r="X20" s="360" t="s">
        <v>22</v>
      </c>
      <c r="Z20" s="361" t="s">
        <v>28</v>
      </c>
      <c r="AA20" s="364"/>
    </row>
    <row r="21" spans="1:32" ht="16.5" customHeight="1" thickBot="1" x14ac:dyDescent="0.3">
      <c r="A21" s="137" t="s">
        <v>38</v>
      </c>
      <c r="B21" s="138"/>
      <c r="C21" s="381"/>
      <c r="D21" s="381"/>
      <c r="E21" s="371"/>
      <c r="F21" s="383"/>
      <c r="G21" s="374"/>
      <c r="H21" s="374"/>
      <c r="I21" s="374"/>
      <c r="J21" s="374"/>
      <c r="K21" s="374"/>
      <c r="L21" s="374"/>
      <c r="M21" s="374"/>
      <c r="N21" s="371"/>
      <c r="O21" s="371"/>
      <c r="P21" s="369"/>
      <c r="Q21" s="371"/>
      <c r="R21" s="371"/>
      <c r="S21" s="362"/>
      <c r="T21" s="355"/>
      <c r="U21" s="372"/>
      <c r="V21" s="355"/>
      <c r="W21" s="358"/>
      <c r="X21" s="360"/>
      <c r="Z21" s="362"/>
      <c r="AA21" s="365"/>
    </row>
    <row r="22" spans="1:32" ht="16.5" customHeight="1" thickBot="1" x14ac:dyDescent="0.3">
      <c r="A22" s="367" t="s">
        <v>39</v>
      </c>
      <c r="B22" s="368"/>
      <c r="C22" s="381"/>
      <c r="D22" s="381"/>
      <c r="E22" s="382"/>
      <c r="F22" s="384"/>
      <c r="G22" s="374"/>
      <c r="H22" s="374"/>
      <c r="I22" s="374"/>
      <c r="J22" s="374"/>
      <c r="K22" s="374"/>
      <c r="L22" s="374"/>
      <c r="M22" s="374"/>
      <c r="N22" s="369"/>
      <c r="O22" s="369"/>
      <c r="P22" s="370"/>
      <c r="Q22" s="369"/>
      <c r="R22" s="369"/>
      <c r="S22" s="363"/>
      <c r="T22" s="356"/>
      <c r="U22" s="373"/>
      <c r="V22" s="356"/>
      <c r="W22" s="359"/>
      <c r="X22" s="360"/>
      <c r="Z22" s="363"/>
      <c r="AA22" s="366"/>
    </row>
    <row r="23" spans="1:32" ht="26.25" x14ac:dyDescent="0.25">
      <c r="A23" s="347" t="s">
        <v>40</v>
      </c>
      <c r="B23" s="139" t="s">
        <v>41</v>
      </c>
      <c r="C23" s="140"/>
      <c r="D23" s="141"/>
      <c r="E23" s="142">
        <v>451375732</v>
      </c>
      <c r="F23" s="143"/>
      <c r="G23" s="140">
        <v>0</v>
      </c>
      <c r="H23" s="140" t="s">
        <v>42</v>
      </c>
      <c r="I23" s="140">
        <v>0</v>
      </c>
      <c r="J23" s="140">
        <v>0</v>
      </c>
      <c r="K23" s="140">
        <v>0</v>
      </c>
      <c r="L23" s="140">
        <v>451031965</v>
      </c>
      <c r="M23" s="140">
        <v>0</v>
      </c>
      <c r="N23" s="140">
        <v>0</v>
      </c>
      <c r="O23" s="140">
        <v>0</v>
      </c>
      <c r="P23" s="142">
        <v>0</v>
      </c>
      <c r="Q23" s="140">
        <v>0</v>
      </c>
      <c r="R23" s="140">
        <v>0</v>
      </c>
      <c r="S23" s="144">
        <v>0</v>
      </c>
      <c r="T23" s="29">
        <v>0</v>
      </c>
      <c r="U23" s="145">
        <v>451031965</v>
      </c>
      <c r="V23" s="146">
        <v>0.99923840167818323</v>
      </c>
      <c r="W23" s="147">
        <v>705000000</v>
      </c>
      <c r="X23" s="148">
        <v>703004330</v>
      </c>
      <c r="Z23" s="149">
        <f>397425067+88000000-2041600</f>
        <v>483383467</v>
      </c>
      <c r="AB23" s="77">
        <f>+Z23+AC11</f>
        <v>483383467</v>
      </c>
      <c r="AF23" s="150"/>
    </row>
    <row r="24" spans="1:32" ht="15.75" x14ac:dyDescent="0.25">
      <c r="A24" s="348"/>
      <c r="B24" s="151" t="s">
        <v>43</v>
      </c>
      <c r="C24" s="152">
        <v>10000000</v>
      </c>
      <c r="D24" s="153" t="e">
        <v>#REF!</v>
      </c>
      <c r="E24" s="152">
        <v>36000000</v>
      </c>
      <c r="F24" s="154"/>
      <c r="G24" s="152">
        <v>86781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5">
        <v>86781</v>
      </c>
      <c r="T24" s="29">
        <v>2.4105833333333332E-3</v>
      </c>
      <c r="U24" s="156">
        <v>36000000</v>
      </c>
      <c r="V24" s="146">
        <v>1</v>
      </c>
      <c r="W24" s="157"/>
      <c r="X24" s="158">
        <v>1200000</v>
      </c>
      <c r="Z24" s="149">
        <f>+(((15000*1.03))*113)*12+36000000</f>
        <v>56950200</v>
      </c>
      <c r="AB24" t="s">
        <v>42</v>
      </c>
    </row>
    <row r="25" spans="1:32" ht="15.75" hidden="1" x14ac:dyDescent="0.25">
      <c r="A25" s="348"/>
      <c r="B25" s="159" t="s">
        <v>44</v>
      </c>
      <c r="C25" s="140">
        <v>20000000</v>
      </c>
      <c r="D25" s="141" t="e">
        <v>#REF!</v>
      </c>
      <c r="E25" s="140">
        <v>0</v>
      </c>
      <c r="F25" s="160"/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61">
        <v>0</v>
      </c>
      <c r="T25" s="29" t="e">
        <v>#DIV/0!</v>
      </c>
      <c r="U25" s="145"/>
      <c r="V25" s="146" t="e">
        <v>#DIV/0!</v>
      </c>
      <c r="W25" s="162">
        <v>10000000</v>
      </c>
      <c r="X25" s="158">
        <v>10000000</v>
      </c>
      <c r="Z25" s="149"/>
    </row>
    <row r="26" spans="1:32" ht="15.75" hidden="1" x14ac:dyDescent="0.25">
      <c r="A26" s="348"/>
      <c r="B26" s="159" t="s">
        <v>45</v>
      </c>
      <c r="C26" s="140"/>
      <c r="D26" s="141"/>
      <c r="E26" s="140">
        <v>0</v>
      </c>
      <c r="F26" s="160"/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61">
        <v>0</v>
      </c>
      <c r="T26" s="29" t="e">
        <v>#DIV/0!</v>
      </c>
      <c r="U26" s="145"/>
      <c r="V26" s="146" t="e">
        <v>#DIV/0!</v>
      </c>
      <c r="W26" s="162"/>
      <c r="X26" s="158"/>
      <c r="Z26" s="149"/>
    </row>
    <row r="27" spans="1:32" ht="39" x14ac:dyDescent="0.25">
      <c r="A27" s="348"/>
      <c r="B27" s="163" t="s">
        <v>46</v>
      </c>
      <c r="C27" s="140">
        <v>138000000</v>
      </c>
      <c r="D27" s="141" t="e">
        <v>#REF!</v>
      </c>
      <c r="E27" s="140">
        <v>71301150</v>
      </c>
      <c r="F27" s="160"/>
      <c r="G27" s="140">
        <v>7791240</v>
      </c>
      <c r="H27" s="140">
        <v>5708760</v>
      </c>
      <c r="I27" s="140">
        <v>0</v>
      </c>
      <c r="J27" s="140">
        <v>1552085</v>
      </c>
      <c r="K27" s="140">
        <v>1356022</v>
      </c>
      <c r="L27" s="140">
        <v>1361142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61">
        <v>17769249</v>
      </c>
      <c r="T27" s="29">
        <v>0.24921405895977836</v>
      </c>
      <c r="U27" s="145">
        <v>27969249</v>
      </c>
      <c r="V27" s="146">
        <v>0.39226925512421607</v>
      </c>
      <c r="W27" s="162">
        <v>5676117</v>
      </c>
      <c r="X27" s="158">
        <v>100000000</v>
      </c>
      <c r="Z27" s="149">
        <f>+(1900000*1.03)*12</f>
        <v>23484000</v>
      </c>
      <c r="AB27" t="s">
        <v>42</v>
      </c>
    </row>
    <row r="28" spans="1:32" ht="25.5" hidden="1" x14ac:dyDescent="0.25">
      <c r="A28" s="348"/>
      <c r="B28" s="164" t="s">
        <v>47</v>
      </c>
      <c r="C28" s="140"/>
      <c r="D28" s="141"/>
      <c r="E28" s="140">
        <v>433691601</v>
      </c>
      <c r="F28" s="16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61">
        <v>0</v>
      </c>
      <c r="T28" s="29">
        <v>0</v>
      </c>
      <c r="U28" s="145">
        <v>433357079</v>
      </c>
      <c r="V28" s="146">
        <v>0.9992286638726029</v>
      </c>
      <c r="W28" s="162"/>
      <c r="X28" s="158"/>
      <c r="Z28" s="149"/>
      <c r="AB28" t="s">
        <v>42</v>
      </c>
    </row>
    <row r="29" spans="1:32" ht="26.25" x14ac:dyDescent="0.25">
      <c r="A29" s="348"/>
      <c r="B29" s="163" t="s">
        <v>48</v>
      </c>
      <c r="C29" s="140">
        <v>72000000</v>
      </c>
      <c r="D29" s="141" t="e">
        <v>#REF!</v>
      </c>
      <c r="E29" s="140">
        <v>68464000</v>
      </c>
      <c r="F29" s="160"/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61">
        <v>0</v>
      </c>
      <c r="T29" s="29">
        <v>0</v>
      </c>
      <c r="U29" s="145">
        <v>26114497</v>
      </c>
      <c r="V29" s="146">
        <v>0.38143399450806265</v>
      </c>
      <c r="W29" s="162"/>
      <c r="X29" s="158"/>
      <c r="Z29" s="149">
        <f>+(4400000*1.03)*12+(15000000)</f>
        <v>69384000</v>
      </c>
      <c r="AB29" t="s">
        <v>42</v>
      </c>
    </row>
    <row r="30" spans="1:32" ht="25.5" x14ac:dyDescent="0.25">
      <c r="A30" s="348"/>
      <c r="B30" s="164" t="s">
        <v>49</v>
      </c>
      <c r="C30" s="140">
        <v>138000000</v>
      </c>
      <c r="D30" s="141" t="e">
        <v>#REF!</v>
      </c>
      <c r="E30" s="140">
        <v>212400000</v>
      </c>
      <c r="F30" s="160"/>
      <c r="G30" s="140">
        <v>400099</v>
      </c>
      <c r="H30" s="140">
        <v>35692732</v>
      </c>
      <c r="I30" s="140">
        <v>15516279</v>
      </c>
      <c r="J30" s="140">
        <v>17488633</v>
      </c>
      <c r="K30" s="140">
        <v>17704862</v>
      </c>
      <c r="L30" s="140">
        <v>18161777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61">
        <v>104964382</v>
      </c>
      <c r="T30" s="29">
        <v>0.49418258945386062</v>
      </c>
      <c r="U30" s="145">
        <v>212400000</v>
      </c>
      <c r="V30" s="146">
        <v>1</v>
      </c>
      <c r="W30" s="162">
        <v>48735435</v>
      </c>
      <c r="X30" s="158">
        <v>188000000</v>
      </c>
      <c r="Z30" s="149">
        <f>+((65000*330)*1.03)*12</f>
        <v>265122000</v>
      </c>
    </row>
    <row r="31" spans="1:32" ht="15.75" x14ac:dyDescent="0.25">
      <c r="A31" s="348"/>
      <c r="B31" s="165" t="s">
        <v>50</v>
      </c>
      <c r="C31" s="140">
        <v>5100000</v>
      </c>
      <c r="D31" s="141" t="e">
        <v>#REF!</v>
      </c>
      <c r="E31" s="140">
        <v>10938335</v>
      </c>
      <c r="F31" s="160"/>
      <c r="G31" s="140">
        <v>237943.6</v>
      </c>
      <c r="H31" s="140">
        <v>5863704.7999999998</v>
      </c>
      <c r="I31" s="140">
        <v>205455</v>
      </c>
      <c r="J31" s="140">
        <v>273750.19</v>
      </c>
      <c r="K31" s="140">
        <v>762117.2</v>
      </c>
      <c r="L31" s="140">
        <v>726454.4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61">
        <v>8069425.1900000004</v>
      </c>
      <c r="T31" s="29">
        <v>0.73771969774193247</v>
      </c>
      <c r="U31" s="145">
        <v>10938335</v>
      </c>
      <c r="V31" s="146">
        <v>1</v>
      </c>
      <c r="W31" s="162"/>
      <c r="X31" s="158">
        <v>8321897.1299999999</v>
      </c>
      <c r="Z31" s="149">
        <v>7000000</v>
      </c>
    </row>
    <row r="32" spans="1:32" ht="16.5" thickBot="1" x14ac:dyDescent="0.3">
      <c r="A32" s="348"/>
      <c r="B32" s="166" t="s">
        <v>51</v>
      </c>
      <c r="C32" s="167">
        <v>10184968.500824068</v>
      </c>
      <c r="D32" s="168" t="e">
        <v>#REF!</v>
      </c>
      <c r="E32" s="167">
        <v>9486703</v>
      </c>
      <c r="F32" s="169"/>
      <c r="G32" s="167">
        <v>910843.58520000009</v>
      </c>
      <c r="H32" s="167">
        <v>941391.47160000005</v>
      </c>
      <c r="I32" s="167">
        <v>941360.91840000008</v>
      </c>
      <c r="J32" s="167">
        <v>953691.1272000001</v>
      </c>
      <c r="K32" s="167">
        <v>923206.11840000004</v>
      </c>
      <c r="L32" s="167">
        <v>913464.51840000006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70">
        <v>5583957.7392000007</v>
      </c>
      <c r="T32" s="29">
        <v>0.58860889175090658</v>
      </c>
      <c r="U32" s="171">
        <v>9486703</v>
      </c>
      <c r="V32" s="146">
        <v>1</v>
      </c>
      <c r="W32" s="162"/>
      <c r="X32" s="158">
        <v>11124518.826666666</v>
      </c>
      <c r="Z32" s="172">
        <f>24405881*0.44</f>
        <v>10738587.640000001</v>
      </c>
    </row>
    <row r="33" spans="1:33" ht="15.75" customHeight="1" thickBot="1" x14ac:dyDescent="0.35">
      <c r="A33" s="348"/>
      <c r="B33" s="173" t="s">
        <v>52</v>
      </c>
      <c r="C33" s="174">
        <v>393284968.50082409</v>
      </c>
      <c r="D33" s="175" t="e">
        <v>#REF!</v>
      </c>
      <c r="E33" s="174">
        <f>SUM(E23:E32)</f>
        <v>1293657521</v>
      </c>
      <c r="F33" s="176">
        <v>0.33669035410282783</v>
      </c>
      <c r="G33" s="174">
        <v>9426907.1852000002</v>
      </c>
      <c r="H33" s="174">
        <v>48206588.271600001</v>
      </c>
      <c r="I33" s="174">
        <v>16663094.918400001</v>
      </c>
      <c r="J33" s="174">
        <v>20268159.317200001</v>
      </c>
      <c r="K33" s="174">
        <v>20746207.318399999</v>
      </c>
      <c r="L33" s="174">
        <v>472194802.91839999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  <c r="R33" s="174">
        <v>0</v>
      </c>
      <c r="S33" s="174">
        <v>136473794.92919999</v>
      </c>
      <c r="T33" s="177">
        <v>0.10549453214147858</v>
      </c>
      <c r="U33" s="174">
        <v>1207297828</v>
      </c>
      <c r="V33" s="177">
        <v>0.93324377464814356</v>
      </c>
      <c r="W33" s="178">
        <v>769411552</v>
      </c>
      <c r="X33" s="179">
        <v>1021650745.9566667</v>
      </c>
      <c r="Y33" s="180"/>
      <c r="Z33" s="181">
        <f>SUM(Z23:Z32)</f>
        <v>916062254.63999999</v>
      </c>
      <c r="AA33" s="182">
        <v>0.10549453214147858</v>
      </c>
      <c r="AC33" s="183" t="s">
        <v>42</v>
      </c>
      <c r="AD33" t="s">
        <v>42</v>
      </c>
    </row>
    <row r="34" spans="1:33" ht="28.5" customHeight="1" x14ac:dyDescent="0.25">
      <c r="A34" s="349" t="s">
        <v>53</v>
      </c>
      <c r="B34" s="163" t="s">
        <v>54</v>
      </c>
      <c r="C34" s="140">
        <v>44668540</v>
      </c>
      <c r="D34" s="141" t="e">
        <v>#REF!</v>
      </c>
      <c r="E34" s="140">
        <v>48410000</v>
      </c>
      <c r="F34" s="160"/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2789000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61">
        <v>2789000</v>
      </c>
      <c r="T34" s="29">
        <v>5.7612063623218343E-2</v>
      </c>
      <c r="U34" s="184">
        <v>48410000</v>
      </c>
      <c r="V34" s="185">
        <v>1</v>
      </c>
      <c r="W34" s="162">
        <v>10000000</v>
      </c>
      <c r="X34" s="23">
        <v>27000000</v>
      </c>
      <c r="Z34" s="172">
        <v>52000000</v>
      </c>
      <c r="AD34" t="s">
        <v>42</v>
      </c>
    </row>
    <row r="35" spans="1:33" ht="27.75" hidden="1" customHeight="1" x14ac:dyDescent="0.25">
      <c r="A35" s="349"/>
      <c r="B35" s="163" t="s">
        <v>55</v>
      </c>
      <c r="C35" s="140">
        <v>8000000</v>
      </c>
      <c r="D35" s="141" t="e">
        <v>#REF!</v>
      </c>
      <c r="E35" s="140">
        <v>0</v>
      </c>
      <c r="F35" s="160"/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R35" s="140">
        <v>0</v>
      </c>
      <c r="S35" s="161">
        <v>0</v>
      </c>
      <c r="T35" s="29" t="e">
        <v>#DIV/0!</v>
      </c>
      <c r="U35" s="184"/>
      <c r="V35" s="185" t="e">
        <v>#DIV/0!</v>
      </c>
      <c r="W35" s="162"/>
      <c r="X35" s="158">
        <v>13500000</v>
      </c>
      <c r="Z35" s="149"/>
    </row>
    <row r="36" spans="1:33" ht="45.75" customHeight="1" x14ac:dyDescent="0.25">
      <c r="A36" s="349"/>
      <c r="B36" s="163" t="s">
        <v>56</v>
      </c>
      <c r="C36" s="140"/>
      <c r="D36" s="141"/>
      <c r="E36" s="140">
        <v>148782200</v>
      </c>
      <c r="F36" s="160"/>
      <c r="G36" s="140">
        <v>15992847</v>
      </c>
      <c r="H36" s="140">
        <v>985197</v>
      </c>
      <c r="I36" s="140">
        <v>4208000</v>
      </c>
      <c r="J36" s="140"/>
      <c r="K36" s="140">
        <v>23686652</v>
      </c>
      <c r="L36" s="140"/>
      <c r="M36" s="140"/>
      <c r="N36" s="140"/>
      <c r="O36" s="140"/>
      <c r="P36" s="140"/>
      <c r="Q36" s="140"/>
      <c r="R36" s="140"/>
      <c r="S36" s="170">
        <v>44872696</v>
      </c>
      <c r="T36" s="29">
        <v>0.30159989568644635</v>
      </c>
      <c r="U36" s="186">
        <v>148782200</v>
      </c>
      <c r="V36" s="185">
        <v>1</v>
      </c>
      <c r="W36" s="162"/>
      <c r="X36" s="23"/>
      <c r="Z36" s="172">
        <f>22173037+4208000+4769415+110000000+9000000-8000000</f>
        <v>142150452</v>
      </c>
    </row>
    <row r="37" spans="1:33" ht="26.25" hidden="1" customHeight="1" x14ac:dyDescent="0.25">
      <c r="A37" s="349"/>
      <c r="B37" s="163" t="s">
        <v>57</v>
      </c>
      <c r="C37" s="140">
        <v>516000000</v>
      </c>
      <c r="D37" s="141" t="e">
        <v>#REF!</v>
      </c>
      <c r="E37" s="140">
        <v>0</v>
      </c>
      <c r="F37" s="160"/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40">
        <v>0</v>
      </c>
      <c r="Q37" s="140">
        <v>0</v>
      </c>
      <c r="R37" s="140">
        <v>0</v>
      </c>
      <c r="S37" s="161">
        <v>0</v>
      </c>
      <c r="T37" s="29" t="e">
        <v>#DIV/0!</v>
      </c>
      <c r="U37" s="184"/>
      <c r="V37" s="185" t="e">
        <v>#DIV/0!</v>
      </c>
      <c r="W37" s="162"/>
      <c r="X37" s="23">
        <v>383020206</v>
      </c>
      <c r="Z37" s="187"/>
    </row>
    <row r="38" spans="1:33" ht="22.5" hidden="1" customHeight="1" x14ac:dyDescent="0.25">
      <c r="A38" s="349"/>
      <c r="B38" s="164" t="s">
        <v>58</v>
      </c>
      <c r="C38" s="140">
        <v>300000000</v>
      </c>
      <c r="D38" s="141" t="e">
        <v>#REF!</v>
      </c>
      <c r="E38" s="140">
        <v>0</v>
      </c>
      <c r="F38" s="160"/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40">
        <v>0</v>
      </c>
      <c r="Q38" s="140">
        <v>0</v>
      </c>
      <c r="R38" s="140">
        <v>0</v>
      </c>
      <c r="S38" s="161">
        <v>0</v>
      </c>
      <c r="T38" s="29" t="e">
        <v>#DIV/0!</v>
      </c>
      <c r="U38" s="184"/>
      <c r="V38" s="185" t="e">
        <v>#DIV/0!</v>
      </c>
      <c r="W38" s="162" t="e">
        <v>#REF!</v>
      </c>
      <c r="X38" s="23">
        <v>235000000</v>
      </c>
      <c r="Z38" s="187"/>
    </row>
    <row r="39" spans="1:33" ht="22.5" hidden="1" customHeight="1" x14ac:dyDescent="0.25">
      <c r="A39" s="349"/>
      <c r="B39" s="164" t="s">
        <v>59</v>
      </c>
      <c r="C39" s="188"/>
      <c r="D39" s="141"/>
      <c r="E39" s="189">
        <v>0</v>
      </c>
      <c r="F39" s="160"/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61">
        <v>0</v>
      </c>
      <c r="T39" s="29" t="e">
        <v>#DIV/0!</v>
      </c>
      <c r="U39" s="184"/>
      <c r="V39" s="185" t="e">
        <v>#DIV/0!</v>
      </c>
      <c r="W39" s="162"/>
      <c r="X39" s="190">
        <v>701238477.07999992</v>
      </c>
      <c r="Z39" s="187"/>
    </row>
    <row r="40" spans="1:33" ht="48" hidden="1" customHeight="1" x14ac:dyDescent="0.25">
      <c r="A40" s="349"/>
      <c r="B40" s="164" t="s">
        <v>60</v>
      </c>
      <c r="C40" s="188"/>
      <c r="D40" s="141"/>
      <c r="E40" s="189">
        <v>766308400</v>
      </c>
      <c r="F40" s="160"/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/>
      <c r="M40" s="189"/>
      <c r="N40" s="189"/>
      <c r="O40" s="189"/>
      <c r="P40" s="189"/>
      <c r="Q40" s="189"/>
      <c r="R40" s="189"/>
      <c r="S40" s="161">
        <v>766308400</v>
      </c>
      <c r="T40" s="29">
        <v>1</v>
      </c>
      <c r="U40" s="184">
        <v>766308400</v>
      </c>
      <c r="V40" s="185">
        <v>1</v>
      </c>
      <c r="W40" s="162"/>
      <c r="X40" s="190"/>
      <c r="Z40" s="149"/>
    </row>
    <row r="41" spans="1:33" ht="27" customHeight="1" x14ac:dyDescent="0.25">
      <c r="A41" s="349"/>
      <c r="B41" s="164" t="s">
        <v>61</v>
      </c>
      <c r="C41" s="188"/>
      <c r="D41" s="141"/>
      <c r="E41" s="189"/>
      <c r="F41" s="160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61"/>
      <c r="T41" s="29"/>
      <c r="U41" s="184"/>
      <c r="V41" s="185"/>
      <c r="W41" s="162"/>
      <c r="X41" s="190"/>
      <c r="Z41" s="149">
        <f>257000000+32000000+23478400+2041600</f>
        <v>314520000</v>
      </c>
      <c r="AG41" s="77">
        <f>314520000-Z41</f>
        <v>0</v>
      </c>
    </row>
    <row r="42" spans="1:33" ht="15" customHeight="1" x14ac:dyDescent="0.25">
      <c r="A42" s="349"/>
      <c r="B42" s="191" t="s">
        <v>62</v>
      </c>
      <c r="C42" s="188"/>
      <c r="D42" s="141"/>
      <c r="E42" s="189">
        <v>450000000</v>
      </c>
      <c r="F42" s="160"/>
      <c r="G42" s="189">
        <v>0</v>
      </c>
      <c r="H42" s="189">
        <v>0</v>
      </c>
      <c r="I42" s="189">
        <v>10193763</v>
      </c>
      <c r="J42" s="189">
        <v>0</v>
      </c>
      <c r="K42" s="189">
        <v>122393901</v>
      </c>
      <c r="L42" s="189">
        <v>58307755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61">
        <v>190895419</v>
      </c>
      <c r="T42" s="29">
        <v>0.4242120422222222</v>
      </c>
      <c r="U42" s="184">
        <v>450000000</v>
      </c>
      <c r="V42" s="185">
        <v>1</v>
      </c>
      <c r="W42" s="162" t="e">
        <v>#REF!</v>
      </c>
      <c r="X42" s="190">
        <v>359000000</v>
      </c>
      <c r="Z42" s="149">
        <v>450000000</v>
      </c>
    </row>
    <row r="43" spans="1:33" ht="24" hidden="1" customHeight="1" x14ac:dyDescent="0.25">
      <c r="A43" s="349"/>
      <c r="B43" s="164" t="s">
        <v>63</v>
      </c>
      <c r="C43" s="188">
        <v>267185191</v>
      </c>
      <c r="D43" s="141"/>
      <c r="E43" s="189">
        <v>0</v>
      </c>
      <c r="F43" s="160"/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61">
        <v>0</v>
      </c>
      <c r="T43" s="29" t="e">
        <v>#DIV/0!</v>
      </c>
      <c r="U43" s="184"/>
      <c r="V43" s="185" t="e">
        <v>#DIV/0!</v>
      </c>
      <c r="W43" s="162" t="e">
        <v>#REF!</v>
      </c>
      <c r="X43" s="190">
        <v>12500000</v>
      </c>
      <c r="Z43" s="149"/>
    </row>
    <row r="44" spans="1:33" ht="16.5" hidden="1" customHeight="1" x14ac:dyDescent="0.25">
      <c r="A44" s="349"/>
      <c r="B44" s="192" t="s">
        <v>64</v>
      </c>
      <c r="C44" s="188"/>
      <c r="D44" s="141"/>
      <c r="E44" s="189">
        <v>70050000</v>
      </c>
      <c r="F44" s="160"/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61">
        <v>0</v>
      </c>
      <c r="T44" s="29">
        <v>0</v>
      </c>
      <c r="U44" s="184">
        <v>70050000</v>
      </c>
      <c r="V44" s="185">
        <v>1</v>
      </c>
      <c r="W44" s="162"/>
      <c r="X44" s="190">
        <v>140000000</v>
      </c>
      <c r="Z44" s="149"/>
    </row>
    <row r="45" spans="1:33" ht="16.5" customHeight="1" x14ac:dyDescent="0.25">
      <c r="A45" s="349"/>
      <c r="B45" s="192" t="s">
        <v>65</v>
      </c>
      <c r="C45" s="188"/>
      <c r="D45" s="141"/>
      <c r="E45" s="189"/>
      <c r="F45" s="160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61"/>
      <c r="T45" s="29"/>
      <c r="U45" s="184"/>
      <c r="V45" s="185"/>
      <c r="W45" s="162"/>
      <c r="X45" s="190"/>
      <c r="Z45" s="149">
        <f>89000000-39000000</f>
        <v>50000000</v>
      </c>
      <c r="AC45">
        <f>257000000+32000000+23478400</f>
        <v>312478400</v>
      </c>
    </row>
    <row r="46" spans="1:33" ht="15" customHeight="1" thickBot="1" x14ac:dyDescent="0.3">
      <c r="A46" s="349"/>
      <c r="B46" s="164" t="s">
        <v>51</v>
      </c>
      <c r="C46" s="140">
        <v>49972676.331249185</v>
      </c>
      <c r="D46" s="141" t="e">
        <v>#REF!</v>
      </c>
      <c r="E46" s="140">
        <v>11211559</v>
      </c>
      <c r="F46" s="160"/>
      <c r="G46" s="140">
        <v>1075815.7069999999</v>
      </c>
      <c r="H46" s="140">
        <v>1111896.4310000001</v>
      </c>
      <c r="I46" s="140">
        <v>1111860.344</v>
      </c>
      <c r="J46" s="140">
        <v>1126423.8020000001</v>
      </c>
      <c r="K46" s="140">
        <v>1090417.344</v>
      </c>
      <c r="L46" s="140">
        <v>1078911.344</v>
      </c>
      <c r="M46" s="140">
        <v>0</v>
      </c>
      <c r="N46" s="140">
        <v>0</v>
      </c>
      <c r="O46" s="140">
        <v>0</v>
      </c>
      <c r="P46" s="140">
        <v>0</v>
      </c>
      <c r="Q46" s="140">
        <v>0</v>
      </c>
      <c r="R46" s="140">
        <v>0</v>
      </c>
      <c r="S46" s="161">
        <v>6595324.972000001</v>
      </c>
      <c r="T46" s="29">
        <v>0.58826118401553262</v>
      </c>
      <c r="U46" s="184">
        <v>11211559</v>
      </c>
      <c r="V46" s="185">
        <v>1</v>
      </c>
      <c r="W46" s="162"/>
      <c r="X46" s="193">
        <v>13147158.613333333</v>
      </c>
      <c r="Z46" s="149">
        <f>24405881*0.52</f>
        <v>12691058.120000001</v>
      </c>
    </row>
    <row r="47" spans="1:33" ht="19.5" thickBot="1" x14ac:dyDescent="0.35">
      <c r="A47" s="349"/>
      <c r="B47" s="173" t="s">
        <v>66</v>
      </c>
      <c r="C47" s="174">
        <v>918641216.33124924</v>
      </c>
      <c r="D47" s="175" t="e">
        <v>#REF!</v>
      </c>
      <c r="E47" s="174">
        <v>1494762159</v>
      </c>
      <c r="F47" s="176">
        <v>0.3890303209648463</v>
      </c>
      <c r="G47" s="174">
        <v>17068662.706999999</v>
      </c>
      <c r="H47" s="174">
        <v>2097093.4310000001</v>
      </c>
      <c r="I47" s="174">
        <v>15513623.344000001</v>
      </c>
      <c r="J47" s="174">
        <v>1126423.8020000001</v>
      </c>
      <c r="K47" s="174">
        <v>147170970.34400001</v>
      </c>
      <c r="L47" s="174">
        <v>62175666.343999997</v>
      </c>
      <c r="M47" s="174">
        <v>0</v>
      </c>
      <c r="N47" s="174">
        <v>0</v>
      </c>
      <c r="O47" s="174">
        <v>0</v>
      </c>
      <c r="P47" s="174">
        <v>0</v>
      </c>
      <c r="Q47" s="174">
        <v>0</v>
      </c>
      <c r="R47" s="174">
        <v>0</v>
      </c>
      <c r="S47" s="174">
        <v>1011460839.972</v>
      </c>
      <c r="T47" s="177">
        <v>0.67667008686430097</v>
      </c>
      <c r="U47" s="174">
        <v>1494762159</v>
      </c>
      <c r="V47" s="177">
        <v>1</v>
      </c>
      <c r="W47" s="178" t="e">
        <v>#REF!</v>
      </c>
      <c r="X47" s="194">
        <v>1884405841.6933331</v>
      </c>
      <c r="Y47" s="180"/>
      <c r="Z47" s="181">
        <f>SUM(Z34:Z46)</f>
        <v>1021361510.12</v>
      </c>
      <c r="AA47" s="182" t="s">
        <v>42</v>
      </c>
    </row>
    <row r="48" spans="1:33" ht="35.25" customHeight="1" x14ac:dyDescent="0.25">
      <c r="A48" s="350" t="s">
        <v>67</v>
      </c>
      <c r="B48" s="164" t="s">
        <v>68</v>
      </c>
      <c r="C48" s="140">
        <v>81966000</v>
      </c>
      <c r="D48" s="141" t="e">
        <v>#REF!</v>
      </c>
      <c r="E48" s="140">
        <v>50300000</v>
      </c>
      <c r="F48" s="160"/>
      <c r="G48" s="140">
        <v>0</v>
      </c>
      <c r="H48" s="140">
        <v>0</v>
      </c>
      <c r="I48" s="140">
        <v>0</v>
      </c>
      <c r="J48" s="140">
        <v>0</v>
      </c>
      <c r="K48" s="140">
        <v>6032000</v>
      </c>
      <c r="L48" s="140">
        <v>41656992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47688992</v>
      </c>
      <c r="T48" s="29">
        <v>0.94809129224652089</v>
      </c>
      <c r="U48" s="195">
        <v>50300000</v>
      </c>
      <c r="V48" s="185">
        <v>1</v>
      </c>
      <c r="W48" s="140" t="e">
        <v>#VALUE!</v>
      </c>
      <c r="X48" s="140" t="e">
        <v>#VALUE!</v>
      </c>
      <c r="Z48" s="149">
        <f>1100000*20</f>
        <v>22000000</v>
      </c>
    </row>
    <row r="49" spans="1:31" ht="15.75" x14ac:dyDescent="0.25">
      <c r="A49" s="350"/>
      <c r="B49" s="164" t="s">
        <v>69</v>
      </c>
      <c r="C49" s="140">
        <v>60000000</v>
      </c>
      <c r="D49" s="141" t="e">
        <v>#REF!</v>
      </c>
      <c r="E49" s="140">
        <v>48000000</v>
      </c>
      <c r="F49" s="160"/>
      <c r="G49" s="140">
        <v>149300</v>
      </c>
      <c r="H49" s="140">
        <v>147900</v>
      </c>
      <c r="I49" s="140">
        <v>44100</v>
      </c>
      <c r="J49" s="140">
        <v>3685895</v>
      </c>
      <c r="K49" s="140">
        <v>3557874</v>
      </c>
      <c r="L49" s="140">
        <v>3673724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61">
        <v>11258793</v>
      </c>
      <c r="T49" s="29">
        <v>0.23455818749999999</v>
      </c>
      <c r="U49" s="184">
        <v>48000000</v>
      </c>
      <c r="V49" s="185">
        <v>1</v>
      </c>
      <c r="W49" s="162">
        <v>16000000</v>
      </c>
      <c r="X49" s="196">
        <v>33210000</v>
      </c>
      <c r="Z49" s="149">
        <f>+(3800000*12)+10000000</f>
        <v>55600000</v>
      </c>
      <c r="AE49" s="77"/>
    </row>
    <row r="50" spans="1:31" ht="15.75" x14ac:dyDescent="0.25">
      <c r="A50" s="350"/>
      <c r="B50" s="164" t="s">
        <v>70</v>
      </c>
      <c r="C50" s="140"/>
      <c r="D50" s="141"/>
      <c r="E50" s="140">
        <v>90000000</v>
      </c>
      <c r="F50" s="160"/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61">
        <v>0</v>
      </c>
      <c r="T50" s="29">
        <v>0</v>
      </c>
      <c r="U50" s="184">
        <v>90000000</v>
      </c>
      <c r="V50" s="185">
        <v>1</v>
      </c>
      <c r="W50" s="162"/>
      <c r="X50" s="197"/>
      <c r="Z50" s="149">
        <v>185000000</v>
      </c>
    </row>
    <row r="51" spans="1:31" ht="16.5" thickBot="1" x14ac:dyDescent="0.3">
      <c r="A51" s="350"/>
      <c r="B51" s="164" t="s">
        <v>51</v>
      </c>
      <c r="C51" s="140">
        <v>5274358.6879267488</v>
      </c>
      <c r="D51" s="141" t="e">
        <v>#REF!</v>
      </c>
      <c r="E51" s="140">
        <v>862428</v>
      </c>
      <c r="F51" s="160"/>
      <c r="G51" s="140">
        <v>70349.707800000004</v>
      </c>
      <c r="H51" s="140">
        <v>72709.097399999999</v>
      </c>
      <c r="I51" s="140">
        <v>72706.737600000008</v>
      </c>
      <c r="J51" s="140">
        <v>73659.070800000001</v>
      </c>
      <c r="K51" s="140">
        <v>71304.537599999996</v>
      </c>
      <c r="L51" s="140">
        <v>70552.137600000002</v>
      </c>
      <c r="M51" s="140">
        <v>0</v>
      </c>
      <c r="N51" s="140">
        <v>0</v>
      </c>
      <c r="O51" s="140">
        <v>0</v>
      </c>
      <c r="P51" s="140">
        <v>0</v>
      </c>
      <c r="Q51" s="140">
        <v>0</v>
      </c>
      <c r="R51" s="140">
        <v>0</v>
      </c>
      <c r="S51" s="161">
        <v>431281.28879999998</v>
      </c>
      <c r="T51" s="29">
        <v>0.50007802251318367</v>
      </c>
      <c r="U51" s="184">
        <v>862428</v>
      </c>
      <c r="V51" s="185">
        <v>1</v>
      </c>
      <c r="W51" s="162"/>
      <c r="X51" s="198">
        <v>1011319.8933333333</v>
      </c>
      <c r="Z51" s="149">
        <f>24405881*0.04</f>
        <v>976235.24</v>
      </c>
    </row>
    <row r="52" spans="1:31" ht="18.75" x14ac:dyDescent="0.3">
      <c r="A52" s="350"/>
      <c r="B52" s="173" t="s">
        <v>71</v>
      </c>
      <c r="C52" s="174">
        <v>147240358.68792674</v>
      </c>
      <c r="D52" s="175" t="e">
        <v>#REF!</v>
      </c>
      <c r="E52" s="174">
        <v>189162428</v>
      </c>
      <c r="F52" s="176">
        <v>4.9231859153138775E-2</v>
      </c>
      <c r="G52" s="174">
        <v>219649.7078</v>
      </c>
      <c r="H52" s="174">
        <v>220609.0974</v>
      </c>
      <c r="I52" s="174">
        <v>116806.73760000001</v>
      </c>
      <c r="J52" s="174">
        <v>3759554.0707999999</v>
      </c>
      <c r="K52" s="174">
        <v>9661178.5375999995</v>
      </c>
      <c r="L52" s="174">
        <v>45401268.137599997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74">
        <v>59379066.288800001</v>
      </c>
      <c r="T52" s="177">
        <v>0.31390518147081514</v>
      </c>
      <c r="U52" s="174">
        <v>189162428</v>
      </c>
      <c r="V52" s="177">
        <v>1</v>
      </c>
      <c r="W52" s="199" t="e">
        <v>#VALUE!</v>
      </c>
      <c r="X52" s="200" t="e">
        <v>#VALUE!</v>
      </c>
      <c r="Y52" s="180"/>
      <c r="Z52" s="181">
        <f>SUM(Z48:Z51)</f>
        <v>263576235.24000001</v>
      </c>
      <c r="AA52" s="182"/>
    </row>
    <row r="53" spans="1:31" x14ac:dyDescent="0.25">
      <c r="A53" s="201"/>
      <c r="B53" s="202"/>
      <c r="C53" s="203"/>
      <c r="D53" s="204"/>
      <c r="E53" s="203"/>
      <c r="F53" s="205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6"/>
      <c r="W53" s="207"/>
      <c r="X53" s="203"/>
      <c r="Z53" s="149"/>
    </row>
    <row r="54" spans="1:31" ht="15.75" thickBot="1" x14ac:dyDescent="0.3">
      <c r="A54" s="333" t="s">
        <v>72</v>
      </c>
      <c r="B54" s="208" t="s">
        <v>73</v>
      </c>
      <c r="C54" s="152">
        <v>750357470</v>
      </c>
      <c r="D54" s="153" t="e">
        <v>#REF!</v>
      </c>
      <c r="E54" s="152">
        <v>292000000</v>
      </c>
      <c r="F54" s="154"/>
      <c r="G54" s="152">
        <v>0</v>
      </c>
      <c r="H54" s="152">
        <v>0</v>
      </c>
      <c r="I54" s="152">
        <v>0</v>
      </c>
      <c r="J54" s="152">
        <v>57828877</v>
      </c>
      <c r="K54" s="152">
        <v>66062974</v>
      </c>
      <c r="L54" s="152"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123891851</v>
      </c>
      <c r="T54" s="29">
        <v>0.42428716095890412</v>
      </c>
      <c r="U54" s="209">
        <v>292000000</v>
      </c>
      <c r="V54" s="185">
        <v>1</v>
      </c>
      <c r="W54" s="152">
        <v>0</v>
      </c>
      <c r="X54" s="152">
        <v>0</v>
      </c>
      <c r="Z54" s="210">
        <f>210000000-35000000</f>
        <v>175000000</v>
      </c>
    </row>
    <row r="55" spans="1:31" ht="18.75" x14ac:dyDescent="0.3">
      <c r="A55" s="333"/>
      <c r="B55" s="173" t="s">
        <v>74</v>
      </c>
      <c r="C55" s="174">
        <v>750357470</v>
      </c>
      <c r="D55" s="175" t="e">
        <v>#REF!</v>
      </c>
      <c r="E55" s="174">
        <v>292000000</v>
      </c>
      <c r="F55" s="176">
        <v>7.5996607913684233E-2</v>
      </c>
      <c r="G55" s="174">
        <v>0</v>
      </c>
      <c r="H55" s="174">
        <v>0</v>
      </c>
      <c r="I55" s="174">
        <v>0</v>
      </c>
      <c r="J55" s="174">
        <v>57828877</v>
      </c>
      <c r="K55" s="174">
        <v>66062974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174">
        <v>0</v>
      </c>
      <c r="R55" s="174">
        <v>0</v>
      </c>
      <c r="S55" s="174">
        <v>123891851</v>
      </c>
      <c r="T55" s="177">
        <v>0.42428716095890412</v>
      </c>
      <c r="U55" s="211">
        <v>292000000</v>
      </c>
      <c r="V55" s="177">
        <v>1</v>
      </c>
      <c r="W55" s="212"/>
      <c r="X55" s="213">
        <v>0</v>
      </c>
      <c r="Y55" s="180"/>
      <c r="Z55" s="181">
        <f>+Z54</f>
        <v>175000000</v>
      </c>
      <c r="AA55" s="182"/>
      <c r="AB55" s="183"/>
    </row>
    <row r="56" spans="1:31" ht="15.75" x14ac:dyDescent="0.25">
      <c r="A56" s="214"/>
      <c r="B56" s="215"/>
      <c r="C56" s="216"/>
      <c r="D56" s="217"/>
      <c r="E56" s="216"/>
      <c r="F56" s="154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8"/>
      <c r="U56" s="218"/>
      <c r="V56" s="219"/>
      <c r="W56" s="220"/>
      <c r="X56" s="221"/>
      <c r="Z56" s="210"/>
    </row>
    <row r="57" spans="1:31" ht="21" x14ac:dyDescent="0.35">
      <c r="A57" s="222"/>
      <c r="B57" s="223" t="s">
        <v>75</v>
      </c>
      <c r="C57" s="224"/>
      <c r="D57" s="225"/>
      <c r="E57" s="224">
        <v>3269582108</v>
      </c>
      <c r="F57" s="226">
        <v>0.85094914213449713</v>
      </c>
      <c r="G57" s="224">
        <v>26715219.600000001</v>
      </c>
      <c r="H57" s="224">
        <v>50524290.800000004</v>
      </c>
      <c r="I57" s="224">
        <v>32293525</v>
      </c>
      <c r="J57" s="224">
        <v>82983014.189999998</v>
      </c>
      <c r="K57" s="224">
        <v>243641330.20000002</v>
      </c>
      <c r="L57" s="224">
        <v>579771737.39999998</v>
      </c>
      <c r="M57" s="224"/>
      <c r="N57" s="224"/>
      <c r="O57" s="224"/>
      <c r="P57" s="224">
        <v>0</v>
      </c>
      <c r="Q57" s="224">
        <v>0</v>
      </c>
      <c r="R57" s="224">
        <v>0</v>
      </c>
      <c r="S57" s="224">
        <v>1331205552.1900001</v>
      </c>
      <c r="T57" s="227">
        <v>0.40714853097978848</v>
      </c>
      <c r="U57" s="224">
        <v>3183222415</v>
      </c>
      <c r="V57" s="227">
        <v>0.97358693247412398</v>
      </c>
      <c r="W57" s="228"/>
      <c r="X57" s="229"/>
      <c r="Y57" s="56"/>
      <c r="Z57" s="230">
        <f>+Z55+Z52+Z47+Z33</f>
        <v>2376000000</v>
      </c>
      <c r="AA57" s="182">
        <v>0</v>
      </c>
    </row>
    <row r="58" spans="1:31" ht="16.5" hidden="1" thickBot="1" x14ac:dyDescent="0.3">
      <c r="A58" s="231"/>
      <c r="B58" s="232" t="s">
        <v>76</v>
      </c>
      <c r="C58" s="233">
        <v>242880685.54368001</v>
      </c>
      <c r="D58" s="234" t="e">
        <v>#REF!</v>
      </c>
      <c r="E58" s="235">
        <v>249030950</v>
      </c>
      <c r="F58" s="236">
        <v>6.4813381731240752E-2</v>
      </c>
      <c r="G58" s="235">
        <v>20204365</v>
      </c>
      <c r="H58" s="235">
        <v>20650750</v>
      </c>
      <c r="I58" s="235">
        <v>20544878</v>
      </c>
      <c r="J58" s="235">
        <v>20544879</v>
      </c>
      <c r="K58" s="235">
        <v>20854679</v>
      </c>
      <c r="L58" s="235">
        <v>21118679</v>
      </c>
      <c r="M58" s="235">
        <v>21282703</v>
      </c>
      <c r="N58" s="235">
        <v>20318703</v>
      </c>
      <c r="O58" s="235">
        <v>20318703</v>
      </c>
      <c r="P58" s="235">
        <v>20318703</v>
      </c>
      <c r="Q58" s="235">
        <v>22135194</v>
      </c>
      <c r="R58" s="235">
        <v>20669339</v>
      </c>
      <c r="S58" s="25">
        <v>123918230</v>
      </c>
      <c r="T58" s="26"/>
      <c r="U58" s="26">
        <v>248961575</v>
      </c>
      <c r="V58" s="237">
        <v>0.99972142016885857</v>
      </c>
      <c r="W58" s="238"/>
      <c r="X58" s="239">
        <v>234108770.56400001</v>
      </c>
      <c r="Z58" s="240"/>
    </row>
    <row r="59" spans="1:31" ht="16.5" hidden="1" thickBot="1" x14ac:dyDescent="0.3">
      <c r="A59" s="231"/>
      <c r="B59" s="241" t="s">
        <v>77</v>
      </c>
      <c r="C59" s="167">
        <v>130609582</v>
      </c>
      <c r="D59" s="242" t="e">
        <v>#REF!</v>
      </c>
      <c r="E59" s="243">
        <v>74828009</v>
      </c>
      <c r="F59" s="244">
        <v>1.9474913907310393E-2</v>
      </c>
      <c r="G59" s="243">
        <v>4096095.65</v>
      </c>
      <c r="H59" s="243">
        <v>5180906</v>
      </c>
      <c r="I59" s="243">
        <v>5505316</v>
      </c>
      <c r="J59" s="243">
        <v>5866911</v>
      </c>
      <c r="K59" s="243">
        <v>5981886</v>
      </c>
      <c r="L59" s="243">
        <v>4201179</v>
      </c>
      <c r="M59" s="243">
        <v>4302175</v>
      </c>
      <c r="N59" s="243">
        <v>8956285</v>
      </c>
      <c r="O59" s="243">
        <v>5361316</v>
      </c>
      <c r="P59" s="243">
        <v>10832835</v>
      </c>
      <c r="Q59" s="243">
        <v>8573895</v>
      </c>
      <c r="R59" s="243">
        <v>4571895</v>
      </c>
      <c r="S59" s="245">
        <v>30832293.649999999</v>
      </c>
      <c r="T59" s="246"/>
      <c r="U59" s="26">
        <v>73430694.650000006</v>
      </c>
      <c r="V59" s="237">
        <v>0.98132631926635927</v>
      </c>
      <c r="W59" s="162"/>
      <c r="X59" s="158">
        <v>74328333.400000006</v>
      </c>
      <c r="Z59" s="240"/>
    </row>
    <row r="60" spans="1:31" ht="16.5" hidden="1" thickBot="1" x14ac:dyDescent="0.3">
      <c r="A60" s="231"/>
      <c r="B60" s="247"/>
      <c r="C60" s="248"/>
      <c r="D60" s="249"/>
      <c r="E60" s="40"/>
      <c r="F60" s="25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246"/>
      <c r="T60" s="246"/>
      <c r="U60" s="246"/>
      <c r="V60" s="251"/>
      <c r="W60" s="40"/>
      <c r="X60" s="252"/>
      <c r="Z60" s="31"/>
      <c r="AA60" s="246"/>
    </row>
    <row r="61" spans="1:31" ht="20.25" hidden="1" x14ac:dyDescent="0.3">
      <c r="A61" s="253"/>
      <c r="B61" s="351" t="s">
        <v>0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2"/>
      <c r="Y61" s="4"/>
      <c r="Z61" s="254"/>
      <c r="AC61" s="183">
        <f>2288000000-Z57</f>
        <v>-88000000</v>
      </c>
    </row>
    <row r="62" spans="1:31" ht="21" hidden="1" thickBot="1" x14ac:dyDescent="0.35">
      <c r="A62" s="253"/>
      <c r="B62" s="353" t="s">
        <v>78</v>
      </c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4"/>
      <c r="Y62" s="6"/>
      <c r="Z62" s="255"/>
    </row>
    <row r="63" spans="1:31" ht="63.75" hidden="1" x14ac:dyDescent="0.3">
      <c r="A63" s="253"/>
      <c r="B63" s="340" t="s">
        <v>36</v>
      </c>
      <c r="C63" s="340" t="s">
        <v>3</v>
      </c>
      <c r="D63" s="342" t="s">
        <v>4</v>
      </c>
      <c r="E63" s="329" t="s">
        <v>5</v>
      </c>
      <c r="F63" s="345" t="s">
        <v>6</v>
      </c>
      <c r="G63" s="329" t="s">
        <v>7</v>
      </c>
      <c r="H63" s="329" t="s">
        <v>8</v>
      </c>
      <c r="I63" s="329" t="s">
        <v>9</v>
      </c>
      <c r="J63" s="70" t="s">
        <v>10</v>
      </c>
      <c r="K63" s="70" t="s">
        <v>11</v>
      </c>
      <c r="L63" s="70" t="s">
        <v>12</v>
      </c>
      <c r="M63" s="70" t="s">
        <v>13</v>
      </c>
      <c r="N63" s="70" t="s">
        <v>14</v>
      </c>
      <c r="O63" s="256" t="s">
        <v>15</v>
      </c>
      <c r="P63" s="329" t="s">
        <v>16</v>
      </c>
      <c r="Q63" s="257" t="s">
        <v>17</v>
      </c>
      <c r="R63" s="258" t="s">
        <v>18</v>
      </c>
      <c r="S63" s="336" t="s">
        <v>19</v>
      </c>
      <c r="T63" s="338" t="s">
        <v>20</v>
      </c>
      <c r="U63" s="71" t="s">
        <v>21</v>
      </c>
      <c r="V63" s="338" t="s">
        <v>20</v>
      </c>
      <c r="W63" s="259"/>
      <c r="X63" s="327" t="s">
        <v>22</v>
      </c>
      <c r="Y63" s="4"/>
      <c r="Z63" s="329"/>
      <c r="AA63" s="331"/>
    </row>
    <row r="64" spans="1:31" ht="33" hidden="1" thickBot="1" x14ac:dyDescent="0.35">
      <c r="A64" s="253"/>
      <c r="B64" s="341"/>
      <c r="C64" s="341"/>
      <c r="D64" s="343"/>
      <c r="E64" s="344"/>
      <c r="F64" s="346"/>
      <c r="G64" s="335"/>
      <c r="H64" s="335"/>
      <c r="I64" s="335"/>
      <c r="J64" s="8" t="s">
        <v>10</v>
      </c>
      <c r="K64" s="8" t="s">
        <v>11</v>
      </c>
      <c r="L64" s="8" t="s">
        <v>12</v>
      </c>
      <c r="M64" s="8" t="s">
        <v>13</v>
      </c>
      <c r="N64" s="260" t="s">
        <v>14</v>
      </c>
      <c r="O64" s="261" t="s">
        <v>15</v>
      </c>
      <c r="P64" s="335"/>
      <c r="Q64" s="262" t="s">
        <v>17</v>
      </c>
      <c r="R64" s="12" t="s">
        <v>18</v>
      </c>
      <c r="S64" s="337"/>
      <c r="T64" s="339"/>
      <c r="U64" s="12"/>
      <c r="V64" s="339"/>
      <c r="W64" s="13"/>
      <c r="X64" s="328" t="s">
        <v>22</v>
      </c>
      <c r="Y64" s="263"/>
      <c r="Z64" s="330"/>
      <c r="AA64" s="332"/>
    </row>
    <row r="65" spans="1:31" ht="20.25" hidden="1" x14ac:dyDescent="0.3">
      <c r="A65" s="253"/>
      <c r="B65" s="98"/>
      <c r="C65" s="98"/>
      <c r="D65" s="98"/>
      <c r="E65" s="264"/>
      <c r="F65" s="265"/>
      <c r="G65" s="266"/>
      <c r="H65" s="266"/>
      <c r="I65" s="266"/>
      <c r="J65" s="266"/>
      <c r="K65" s="266"/>
      <c r="L65" s="266"/>
      <c r="M65" s="266"/>
      <c r="N65" s="267"/>
      <c r="O65" s="268"/>
      <c r="P65" s="266"/>
      <c r="Q65" s="266"/>
      <c r="R65" s="266"/>
      <c r="S65" s="266"/>
      <c r="T65" s="269"/>
      <c r="U65" s="266"/>
      <c r="V65" s="269"/>
      <c r="W65" s="270"/>
      <c r="X65" s="98"/>
      <c r="Y65" s="271"/>
      <c r="Z65" s="272"/>
      <c r="AA65" s="273"/>
    </row>
    <row r="66" spans="1:31" ht="16.5" thickBot="1" x14ac:dyDescent="0.3">
      <c r="A66" s="274" t="s">
        <v>79</v>
      </c>
      <c r="B66" s="151" t="s">
        <v>80</v>
      </c>
      <c r="C66" s="152">
        <v>373490267.54368001</v>
      </c>
      <c r="D66" s="153" t="e">
        <v>#REF!</v>
      </c>
      <c r="E66" s="152">
        <v>323858959</v>
      </c>
      <c r="F66" s="154"/>
      <c r="G66" s="152">
        <v>24300460.649999999</v>
      </c>
      <c r="H66" s="152">
        <v>25831656</v>
      </c>
      <c r="I66" s="152">
        <v>26050194</v>
      </c>
      <c r="J66" s="152">
        <v>26411790</v>
      </c>
      <c r="K66" s="152">
        <v>26836565</v>
      </c>
      <c r="L66" s="152">
        <v>25319858</v>
      </c>
      <c r="M66" s="152">
        <v>25584878</v>
      </c>
      <c r="N66" s="152">
        <v>29274988</v>
      </c>
      <c r="O66" s="152">
        <v>25680019</v>
      </c>
      <c r="P66" s="152">
        <v>31151538</v>
      </c>
      <c r="Q66" s="152">
        <v>30709089</v>
      </c>
      <c r="R66" s="152">
        <v>25241234</v>
      </c>
      <c r="S66" s="152">
        <v>154750523.65000001</v>
      </c>
      <c r="T66" s="275">
        <v>0.47783307933747793</v>
      </c>
      <c r="U66" s="276">
        <v>322392269.64999998</v>
      </c>
      <c r="V66" s="277">
        <v>0.99547120958293445</v>
      </c>
      <c r="W66" s="278"/>
      <c r="X66" s="278">
        <v>308437103.96399999</v>
      </c>
      <c r="Y66" s="279"/>
      <c r="Z66" s="280">
        <f>'[1]ANEXO SERVICIOS PERSONALES'!C31+[1]GENERALES!C25-Z67</f>
        <v>322999999.68699604</v>
      </c>
      <c r="AA66" s="273"/>
    </row>
    <row r="67" spans="1:31" ht="15.75" x14ac:dyDescent="0.25">
      <c r="A67" s="274"/>
      <c r="B67" s="151" t="s">
        <v>81</v>
      </c>
      <c r="C67" s="152">
        <v>373490267.54368001</v>
      </c>
      <c r="D67" s="153" t="e">
        <v>#REF!</v>
      </c>
      <c r="E67" s="152">
        <v>323858959</v>
      </c>
      <c r="F67" s="154"/>
      <c r="G67" s="152">
        <v>24300460.649999999</v>
      </c>
      <c r="H67" s="152">
        <v>25831656</v>
      </c>
      <c r="I67" s="152">
        <v>26050194</v>
      </c>
      <c r="J67" s="152">
        <v>26411790</v>
      </c>
      <c r="K67" s="152">
        <v>26836565</v>
      </c>
      <c r="L67" s="152">
        <v>25319858</v>
      </c>
      <c r="M67" s="152">
        <v>25584878</v>
      </c>
      <c r="N67" s="152">
        <v>29274988</v>
      </c>
      <c r="O67" s="152">
        <v>25680019</v>
      </c>
      <c r="P67" s="152">
        <v>31151538</v>
      </c>
      <c r="Q67" s="152">
        <v>30709089</v>
      </c>
      <c r="R67" s="152">
        <v>25241234</v>
      </c>
      <c r="S67" s="152">
        <v>154750523.65000001</v>
      </c>
      <c r="T67" s="275">
        <v>0.47783307933747793</v>
      </c>
      <c r="U67" s="276">
        <v>322392269.64999998</v>
      </c>
      <c r="V67" s="277">
        <v>0.99547120958293445</v>
      </c>
      <c r="W67" s="278"/>
      <c r="X67" s="278">
        <v>308437103.96399999</v>
      </c>
      <c r="Y67" s="279"/>
      <c r="Z67" s="210">
        <v>1000000</v>
      </c>
      <c r="AA67" s="281"/>
      <c r="AC67">
        <f>2600000000*12/100</f>
        <v>312000000</v>
      </c>
      <c r="AD67" s="183">
        <f>Z66-AC67</f>
        <v>10999999.686996043</v>
      </c>
    </row>
    <row r="68" spans="1:31" ht="21" x14ac:dyDescent="0.35">
      <c r="A68" s="282"/>
      <c r="B68" s="283" t="s">
        <v>82</v>
      </c>
      <c r="C68" s="284"/>
      <c r="D68" s="285"/>
      <c r="E68" s="284">
        <v>323858959</v>
      </c>
      <c r="F68" s="286">
        <v>8.4288295638551156E-2</v>
      </c>
      <c r="G68" s="284">
        <v>24300460.649999999</v>
      </c>
      <c r="H68" s="284">
        <v>25831656</v>
      </c>
      <c r="I68" s="284">
        <v>26050194</v>
      </c>
      <c r="J68" s="284">
        <v>26411790</v>
      </c>
      <c r="K68" s="284">
        <v>26836565</v>
      </c>
      <c r="L68" s="284">
        <v>25319858</v>
      </c>
      <c r="M68" s="284"/>
      <c r="N68" s="284"/>
      <c r="O68" s="284"/>
      <c r="P68" s="284">
        <v>31151538</v>
      </c>
      <c r="Q68" s="284">
        <v>30709089</v>
      </c>
      <c r="R68" s="284">
        <v>25241234</v>
      </c>
      <c r="S68" s="284">
        <v>154750523.65000001</v>
      </c>
      <c r="T68" s="284"/>
      <c r="U68" s="284">
        <v>322392269.64999998</v>
      </c>
      <c r="V68" s="287">
        <v>0.99547120958293445</v>
      </c>
      <c r="W68" s="288"/>
      <c r="X68" s="288"/>
      <c r="Y68" s="289"/>
      <c r="Z68" s="290">
        <f>+Z66+Z67</f>
        <v>323999999.68699604</v>
      </c>
      <c r="AA68" s="291"/>
    </row>
    <row r="69" spans="1:31" ht="15.75" x14ac:dyDescent="0.25">
      <c r="A69" s="292"/>
      <c r="B69" s="151"/>
      <c r="C69" s="152"/>
      <c r="D69" s="293"/>
      <c r="E69" s="216"/>
      <c r="F69" s="154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94"/>
      <c r="W69" s="295"/>
      <c r="X69" s="296"/>
      <c r="Y69" s="279"/>
      <c r="Z69" s="297"/>
      <c r="AA69" s="298"/>
      <c r="AC69">
        <v>337966558</v>
      </c>
      <c r="AD69">
        <v>12</v>
      </c>
    </row>
    <row r="70" spans="1:31" ht="15.75" x14ac:dyDescent="0.25">
      <c r="A70" s="333" t="s">
        <v>83</v>
      </c>
      <c r="B70" s="208" t="s">
        <v>84</v>
      </c>
      <c r="C70" s="152"/>
      <c r="D70" s="293"/>
      <c r="E70" s="216">
        <v>248835687.40000001</v>
      </c>
      <c r="F70" s="154"/>
      <c r="G70" s="216">
        <v>30312357.879999999</v>
      </c>
      <c r="H70" s="216">
        <v>6461600</v>
      </c>
      <c r="I70" s="216">
        <v>186944661</v>
      </c>
      <c r="J70" s="216">
        <v>0</v>
      </c>
      <c r="K70" s="216">
        <v>0</v>
      </c>
      <c r="L70" s="216">
        <v>0</v>
      </c>
      <c r="M70" s="216">
        <v>223718618.88</v>
      </c>
      <c r="N70" s="216">
        <v>4311647.5199999996</v>
      </c>
      <c r="O70" s="216">
        <v>0</v>
      </c>
      <c r="P70" s="216">
        <v>0</v>
      </c>
      <c r="Q70" s="216">
        <v>0</v>
      </c>
      <c r="R70" s="216">
        <v>0</v>
      </c>
      <c r="S70" s="216">
        <v>223718618.88</v>
      </c>
      <c r="T70" s="275">
        <v>0.89906163065901135</v>
      </c>
      <c r="U70" s="216">
        <v>223718618.88</v>
      </c>
      <c r="V70" s="299">
        <v>0.89906163065901135</v>
      </c>
      <c r="W70" s="216"/>
      <c r="X70" s="300"/>
      <c r="Y70" s="279"/>
      <c r="Z70" s="297">
        <v>200000000</v>
      </c>
      <c r="AA70" s="301"/>
      <c r="AD70">
        <v>100</v>
      </c>
    </row>
    <row r="71" spans="1:31" ht="21" x14ac:dyDescent="0.35">
      <c r="A71" s="333"/>
      <c r="B71" s="223" t="s">
        <v>85</v>
      </c>
      <c r="C71" s="224"/>
      <c r="D71" s="225"/>
      <c r="E71" s="224">
        <v>248835687.40000001</v>
      </c>
      <c r="F71" s="226">
        <v>6.4762562226951703E-2</v>
      </c>
      <c r="G71" s="224">
        <v>30312357.879999999</v>
      </c>
      <c r="H71" s="224">
        <v>6461600</v>
      </c>
      <c r="I71" s="224">
        <v>186944661</v>
      </c>
      <c r="J71" s="224">
        <v>0</v>
      </c>
      <c r="K71" s="224">
        <v>0</v>
      </c>
      <c r="L71" s="224"/>
      <c r="M71" s="224"/>
      <c r="N71" s="224"/>
      <c r="O71" s="224"/>
      <c r="P71" s="224"/>
      <c r="Q71" s="224"/>
      <c r="R71" s="224"/>
      <c r="S71" s="224">
        <v>223718618.88</v>
      </c>
      <c r="T71" s="302">
        <v>0.89906163065901135</v>
      </c>
      <c r="U71" s="224">
        <v>223718618.88</v>
      </c>
      <c r="V71" s="302">
        <v>0.89906163065901135</v>
      </c>
      <c r="W71" s="224"/>
      <c r="X71" s="303"/>
      <c r="Y71" s="304"/>
      <c r="Z71" s="230">
        <f>Z70</f>
        <v>200000000</v>
      </c>
      <c r="AA71" s="182"/>
    </row>
    <row r="72" spans="1:31" ht="15.75" x14ac:dyDescent="0.25">
      <c r="A72" s="305"/>
      <c r="B72" s="151"/>
      <c r="C72" s="152"/>
      <c r="D72" s="293"/>
      <c r="E72" s="216"/>
      <c r="F72" s="154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94"/>
      <c r="W72" s="216"/>
      <c r="X72" s="300"/>
      <c r="Y72" s="279"/>
      <c r="Z72" s="297"/>
      <c r="AA72" s="298"/>
      <c r="AD72" s="183">
        <f>+Z57+Z71</f>
        <v>2576000000</v>
      </c>
      <c r="AE72">
        <f>AD72*12/100</f>
        <v>309120000</v>
      </c>
    </row>
    <row r="73" spans="1:31" ht="21.75" thickBot="1" x14ac:dyDescent="0.4">
      <c r="A73" s="306"/>
      <c r="B73" s="307" t="s">
        <v>34</v>
      </c>
      <c r="C73" s="308" t="e">
        <v>#REF!</v>
      </c>
      <c r="D73" s="309" t="e">
        <v>#REF!</v>
      </c>
      <c r="E73" s="308">
        <v>3842276754.4000001</v>
      </c>
      <c r="F73" s="310">
        <v>1</v>
      </c>
      <c r="G73" s="308">
        <v>81328038.129999995</v>
      </c>
      <c r="H73" s="308">
        <v>82817546.800000012</v>
      </c>
      <c r="I73" s="308">
        <v>245288380</v>
      </c>
      <c r="J73" s="308">
        <v>109394804.19</v>
      </c>
      <c r="K73" s="308">
        <v>270477895.20000005</v>
      </c>
      <c r="L73" s="308">
        <v>605091595.39999998</v>
      </c>
      <c r="M73" s="308" t="e">
        <v>#REF!</v>
      </c>
      <c r="N73" s="308" t="e">
        <v>#REF!</v>
      </c>
      <c r="O73" s="308" t="e">
        <v>#REF!</v>
      </c>
      <c r="P73" s="308">
        <v>31151538</v>
      </c>
      <c r="Q73" s="308">
        <v>30709089</v>
      </c>
      <c r="R73" s="308">
        <v>25241234</v>
      </c>
      <c r="S73" s="308">
        <v>1709674694.7200003</v>
      </c>
      <c r="T73" s="311">
        <v>0.44496396381706727</v>
      </c>
      <c r="U73" s="308">
        <v>3729333303.5300002</v>
      </c>
      <c r="V73" s="311">
        <v>0.97060507139662389</v>
      </c>
      <c r="W73" s="312" t="e">
        <v>#REF!</v>
      </c>
      <c r="X73" s="313" t="e">
        <v>#REF!</v>
      </c>
      <c r="Y73" s="314"/>
      <c r="Z73" s="315">
        <f>Z57+Z68+Z70</f>
        <v>2899999999.686996</v>
      </c>
      <c r="AA73" s="316"/>
    </row>
    <row r="74" spans="1:31" x14ac:dyDescent="0.25">
      <c r="A74" s="317"/>
      <c r="B74" s="202"/>
      <c r="C74" s="203"/>
      <c r="D74" s="204"/>
      <c r="E74" s="318"/>
      <c r="F74" s="31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319"/>
      <c r="X74" s="2"/>
      <c r="AD74">
        <v>566700</v>
      </c>
    </row>
    <row r="75" spans="1:31" x14ac:dyDescent="0.25">
      <c r="A75" s="334"/>
      <c r="B75" s="334"/>
      <c r="C75" s="334"/>
      <c r="D75" s="334"/>
      <c r="E75" s="320" t="s">
        <v>42</v>
      </c>
      <c r="F75" s="321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2"/>
      <c r="W75" s="319"/>
      <c r="X75" s="319"/>
      <c r="AD75">
        <v>589500</v>
      </c>
    </row>
    <row r="76" spans="1:31" x14ac:dyDescent="0.25">
      <c r="A76" s="334"/>
      <c r="B76" s="334"/>
      <c r="C76" s="334"/>
      <c r="D76" s="334"/>
      <c r="E76" s="320"/>
      <c r="F76" s="321"/>
      <c r="G76" s="2"/>
      <c r="H76" s="2"/>
      <c r="I76" s="2"/>
      <c r="J76" s="2"/>
      <c r="K76" s="2"/>
      <c r="L76" s="2"/>
      <c r="M76" s="2"/>
      <c r="N76" s="319"/>
      <c r="O76" s="319"/>
      <c r="P76" s="319"/>
      <c r="Q76" s="319"/>
      <c r="R76" s="319"/>
      <c r="S76" s="319"/>
      <c r="T76" s="319"/>
      <c r="U76" s="319"/>
      <c r="V76" s="2"/>
      <c r="W76" s="319"/>
      <c r="X76" s="322" t="e">
        <v>#REF!</v>
      </c>
      <c r="AD76">
        <f>+AD75-AD74</f>
        <v>22800</v>
      </c>
    </row>
    <row r="77" spans="1:31" x14ac:dyDescent="0.25">
      <c r="A77" s="326"/>
      <c r="B77" s="326"/>
      <c r="C77" s="326"/>
      <c r="D77" s="326"/>
      <c r="E77" s="320"/>
      <c r="F77" s="321"/>
      <c r="G77" s="2"/>
      <c r="H77" s="2"/>
      <c r="I77" s="2"/>
      <c r="J77" s="2"/>
      <c r="K77" s="2"/>
      <c r="L77" s="2"/>
      <c r="M77" s="2"/>
      <c r="N77" s="319"/>
      <c r="O77" s="319"/>
      <c r="P77" s="319"/>
      <c r="Q77" s="319"/>
      <c r="R77" s="319"/>
      <c r="S77" s="319"/>
      <c r="T77" s="319"/>
      <c r="U77" s="319"/>
      <c r="V77" s="2"/>
      <c r="W77" s="319"/>
      <c r="X77" s="2"/>
    </row>
    <row r="78" spans="1:31" x14ac:dyDescent="0.25">
      <c r="A78" s="2"/>
      <c r="B78" s="2"/>
      <c r="C78" s="31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319"/>
      <c r="X78" s="2"/>
    </row>
    <row r="79" spans="1:31" x14ac:dyDescent="0.25">
      <c r="A79" s="2"/>
      <c r="B79" s="2"/>
      <c r="C79" s="3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23"/>
      <c r="T79" s="323"/>
      <c r="U79" s="323"/>
      <c r="V79" s="2"/>
      <c r="W79" s="319"/>
      <c r="X79" s="2"/>
    </row>
    <row r="80" spans="1:3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19"/>
      <c r="N80" s="2"/>
      <c r="O80" s="2"/>
      <c r="P80" s="2"/>
      <c r="Q80" s="2"/>
      <c r="R80" s="2"/>
      <c r="S80" s="323"/>
      <c r="T80" s="323"/>
      <c r="U80" s="323"/>
      <c r="V80" s="2"/>
      <c r="W80" s="2"/>
      <c r="X80" s="324"/>
    </row>
    <row r="81" spans="1:26" x14ac:dyDescent="0.25">
      <c r="A81" s="2"/>
      <c r="B81" s="2"/>
      <c r="C81" s="31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Z81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25"/>
      <c r="T82" s="325"/>
      <c r="U82" s="325"/>
      <c r="V82" s="2"/>
      <c r="W82" s="2"/>
      <c r="X82" s="2"/>
      <c r="Z82"/>
    </row>
    <row r="83" spans="1:26" x14ac:dyDescent="0.25">
      <c r="A83" s="2"/>
      <c r="B83" s="2"/>
      <c r="C83" s="2"/>
      <c r="D83" s="2"/>
      <c r="E83" s="32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Z83"/>
    </row>
    <row r="85" spans="1:26" x14ac:dyDescent="0.25">
      <c r="S85" s="2" t="s">
        <v>42</v>
      </c>
      <c r="Z85"/>
    </row>
    <row r="86" spans="1:26" x14ac:dyDescent="0.25">
      <c r="S86" s="2" t="s">
        <v>42</v>
      </c>
      <c r="Z86"/>
    </row>
  </sheetData>
  <mergeCells count="69">
    <mergeCell ref="A1:B1"/>
    <mergeCell ref="B2:X2"/>
    <mergeCell ref="B3:X3"/>
    <mergeCell ref="B4:B5"/>
    <mergeCell ref="C4:C5"/>
    <mergeCell ref="D4:D5"/>
    <mergeCell ref="E4:E5"/>
    <mergeCell ref="F4:F5"/>
    <mergeCell ref="G4:G5"/>
    <mergeCell ref="H4:H5"/>
    <mergeCell ref="Z4:Z5"/>
    <mergeCell ref="A18:X18"/>
    <mergeCell ref="A19:X19"/>
    <mergeCell ref="C20:C22"/>
    <mergeCell ref="D20:D22"/>
    <mergeCell ref="E20:E22"/>
    <mergeCell ref="F20:F22"/>
    <mergeCell ref="G20:G22"/>
    <mergeCell ref="H20:H22"/>
    <mergeCell ref="I20:I22"/>
    <mergeCell ref="I4:I5"/>
    <mergeCell ref="P4:P5"/>
    <mergeCell ref="S4:S5"/>
    <mergeCell ref="T4:T5"/>
    <mergeCell ref="V4:V5"/>
    <mergeCell ref="X4:X5"/>
    <mergeCell ref="T20:T22"/>
    <mergeCell ref="U20:U22"/>
    <mergeCell ref="J20:J22"/>
    <mergeCell ref="K20:K22"/>
    <mergeCell ref="L20:L22"/>
    <mergeCell ref="M20:M22"/>
    <mergeCell ref="N20:N22"/>
    <mergeCell ref="O20:O22"/>
    <mergeCell ref="A22:B22"/>
    <mergeCell ref="P20:P22"/>
    <mergeCell ref="Q20:Q22"/>
    <mergeCell ref="R20:R22"/>
    <mergeCell ref="S20:S22"/>
    <mergeCell ref="V20:V22"/>
    <mergeCell ref="W20:W22"/>
    <mergeCell ref="X20:X22"/>
    <mergeCell ref="Z20:Z22"/>
    <mergeCell ref="AA20:AA22"/>
    <mergeCell ref="E63:E64"/>
    <mergeCell ref="F63:F64"/>
    <mergeCell ref="G63:G64"/>
    <mergeCell ref="A23:A33"/>
    <mergeCell ref="A34:A47"/>
    <mergeCell ref="A48:A52"/>
    <mergeCell ref="A54:A55"/>
    <mergeCell ref="B61:X61"/>
    <mergeCell ref="B62:X62"/>
    <mergeCell ref="A77:D77"/>
    <mergeCell ref="X63:X64"/>
    <mergeCell ref="Z63:Z64"/>
    <mergeCell ref="AA63:AA64"/>
    <mergeCell ref="A70:A71"/>
    <mergeCell ref="A75:D75"/>
    <mergeCell ref="A76:D76"/>
    <mergeCell ref="H63:H64"/>
    <mergeCell ref="I63:I64"/>
    <mergeCell ref="P63:P64"/>
    <mergeCell ref="S63:S64"/>
    <mergeCell ref="T63:T64"/>
    <mergeCell ref="V63:V64"/>
    <mergeCell ref="B63:B64"/>
    <mergeCell ref="C63:C64"/>
    <mergeCell ref="D63:D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Admin-finaciera</dc:creator>
  <cp:lastModifiedBy>Maria Dufay Granada Giraldo</cp:lastModifiedBy>
  <dcterms:created xsi:type="dcterms:W3CDTF">2013-12-03T19:56:04Z</dcterms:created>
  <dcterms:modified xsi:type="dcterms:W3CDTF">2015-04-30T15:34:37Z</dcterms:modified>
</cp:coreProperties>
</file>